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45" windowWidth="8370" windowHeight="9060" tabRatio="914" firstSheet="1" activeTab="1"/>
  </bookViews>
  <sheets>
    <sheet name="informe2011" sheetId="46" state="hidden" r:id="rId1"/>
    <sheet name="Balance Financiero" sheetId="3" r:id="rId2"/>
    <sheet name="Ingresos Proyecciones" sheetId="9" r:id="rId3"/>
    <sheet name="Gastos Proyecciones" sheetId="10" r:id="rId4"/>
    <sheet name="Ley 617" sheetId="4" state="hidden" r:id="rId5"/>
    <sheet name="Plan Plurianual" sheetId="23" r:id="rId6"/>
    <sheet name="Capacidad de Pago" sheetId="5" state="hidden" r:id="rId7"/>
    <sheet name="Pasivo a Cancelar y Deuda" sheetId="6" state="hidden" r:id="rId8"/>
    <sheet name="Fuentes y Usos Proyecciones" sheetId="8" state="hidden" r:id="rId9"/>
    <sheet name="Fuentes y Usos Seguimiento" sheetId="7" state="hidden" r:id="rId10"/>
    <sheet name="Cuadros para Informe Municipios" sheetId="11" state="hidden" r:id="rId11"/>
    <sheet name="Variación Cuentas por Pagar" sheetId="12" state="hidden" r:id="rId12"/>
    <sheet name="Resumen Indicadores" sheetId="13" state="hidden" r:id="rId13"/>
    <sheet name="INGRESOS 2005" sheetId="22" state="hidden" r:id="rId14"/>
    <sheet name="Ingresos" sheetId="1" state="hidden" r:id="rId15"/>
    <sheet name="Gastos" sheetId="2" state="hidden" r:id="rId16"/>
    <sheet name="Datos para gráficos" sheetId="28" state="hidden" r:id="rId17"/>
  </sheets>
  <definedNames>
    <definedName name="_CumplimientoLey617">'Cuadros para Informe Municipios'!$A$4:$D$9</definedName>
    <definedName name="_xlnm._FilterDatabase" localSheetId="15" hidden="1">Gastos!$A$25:$J$219</definedName>
    <definedName name="_xlnm._FilterDatabase" localSheetId="14" hidden="1">Ingresos!$A$25:$I$130</definedName>
    <definedName name="_xlnm._FilterDatabase" localSheetId="13" hidden="1">'INGRESOS 2005'!$A$25:$I$130</definedName>
    <definedName name="_Ley617">'Ley 617'!$A$8:$AC$59</definedName>
    <definedName name="_Ley617Gastos">'Ley 617'!$A$69:$AC$77</definedName>
    <definedName name="AcreenciasIncorporadas">'Variación Cuentas por Pagar'!$A$10:$U$25</definedName>
    <definedName name="AcreenciasNoIncorporadas">'Variación Cuentas por Pagar'!$A$30:$F$46</definedName>
    <definedName name="_xlnm.Print_Area" localSheetId="1">'Balance Financiero'!$B$1:$V$110</definedName>
    <definedName name="_xlnm.Print_Area" localSheetId="6">'Capacidad de Pago'!$B$1:$V$87</definedName>
    <definedName name="_xlnm.Print_Area" localSheetId="10">'Cuadros para Informe Municipios'!$B$1:$F$80</definedName>
    <definedName name="_xlnm.Print_Area" localSheetId="8">'Fuentes y Usos Proyecciones'!$B$23:$P$162</definedName>
    <definedName name="_xlnm.Print_Area" localSheetId="9">'Fuentes y Usos Seguimiento'!$A$1:$G$159</definedName>
    <definedName name="_xlnm.Print_Area" localSheetId="15">Gastos!$A$1:$O$235</definedName>
    <definedName name="_xlnm.Print_Area" localSheetId="3">'Gastos Proyecciones'!$B$3:$W$229</definedName>
    <definedName name="_xlnm.Print_Area" localSheetId="0">informe2011!$A$1:$F$60</definedName>
    <definedName name="_xlnm.Print_Area" localSheetId="14">Ingresos!$A$1:$L$130</definedName>
    <definedName name="_xlnm.Print_Area" localSheetId="13">'INGRESOS 2005'!$A$1:$L$130</definedName>
    <definedName name="_xlnm.Print_Area" localSheetId="2">'Ingresos Proyecciones'!$B$2:$W$200</definedName>
    <definedName name="_xlnm.Print_Area" localSheetId="4">'Ley 617'!$C$1:$AJ$91</definedName>
    <definedName name="_xlnm.Print_Area" localSheetId="5">'Plan Plurianual'!$A$2:$R$35</definedName>
    <definedName name="_xlnm.Print_Area" localSheetId="12">'Resumen Indicadores'!$A$1:$K$18</definedName>
    <definedName name="_xlnm.Print_Area" localSheetId="11">'Variación Cuentas por Pagar'!$B$1:$U$46</definedName>
    <definedName name="BalanceFinanciero">'Balance Financiero'!$A$10:$O$76</definedName>
    <definedName name="CapacidadDeEndeudamiento">'Cuadros para Informe Municipios'!$A$58:$E$66</definedName>
    <definedName name="CapacidadDePago">'Capacidad de Pago'!$A$9:$O$45</definedName>
    <definedName name="Encabezado" localSheetId="13">'INGRESOS 2005'!$F$189:$N$190</definedName>
    <definedName name="Encabezado">Ingresos!$F$189:$N$190</definedName>
    <definedName name="Gastos">Gastos!$A$24:$P$216</definedName>
    <definedName name="GastosDeFuncionamiento">'Cuadros para Informe Municipios'!$A$73:$D$80</definedName>
    <definedName name="GastosProyecciones">'Gastos Proyecciones'!$A$12:$U$185</definedName>
    <definedName name="Ingresos" localSheetId="13">'INGRESOS 2005'!$A$26:$M$130</definedName>
    <definedName name="Ingresos">Ingresos!$A$26:$M$130</definedName>
    <definedName name="IngresosProyecciones">'Ingresos Proyecciones'!$A$10:$U$140</definedName>
    <definedName name="PasivoACancelarYDeuda">'Pasivo a Cancelar y Deuda'!$A$2:$Q$22</definedName>
    <definedName name="ProyeccionesFuentesYUsos">'Fuentes y Usos Proyecciones'!$A$24:$Q$162</definedName>
    <definedName name="SegumientoFuentesYUsos">'Fuentes y Usos Seguimiento'!$A$26:$G$158</definedName>
    <definedName name="_xlnm.Print_Titles" localSheetId="1">'Balance Financiero'!$1:$9</definedName>
    <definedName name="_xlnm.Print_Titles" localSheetId="6">'Capacidad de Pago'!$1:$9</definedName>
    <definedName name="_xlnm.Print_Titles" localSheetId="8">'Fuentes y Usos Proyecciones'!$23:$24</definedName>
    <definedName name="_xlnm.Print_Titles" localSheetId="9">'Fuentes y Usos Seguimiento'!$25:$26</definedName>
    <definedName name="_xlnm.Print_Titles" localSheetId="15">Gastos!$22:$22</definedName>
    <definedName name="_xlnm.Print_Titles" localSheetId="3">'Gastos Proyecciones'!$3:$10</definedName>
    <definedName name="_xlnm.Print_Titles" localSheetId="0">informe2011!$1:$8</definedName>
    <definedName name="_xlnm.Print_Titles" localSheetId="14">Ingresos!$25:$25</definedName>
    <definedName name="_xlnm.Print_Titles" localSheetId="13">'INGRESOS 2005'!$25:$25</definedName>
    <definedName name="_xlnm.Print_Titles" localSheetId="2">'Ingresos Proyecciones'!$2:$9</definedName>
    <definedName name="_xlnm.Print_Titles" localSheetId="4">'Ley 617'!$A:$C,'Ley 617'!$1:$8</definedName>
    <definedName name="TransferenciasAlConcejo">'Cuadros para Informe Municipios'!$A$24:$D$29</definedName>
    <definedName name="TransferenciasAPersoneria">'Cuadros para Informe Municipios'!$A$46:$D$49</definedName>
    <definedName name="TransferenciasContraloria">'Cuadros para Informe Municipios'!$A$36:$D$39</definedName>
  </definedNames>
  <calcPr calcId="125725" fullCalcOnLoad="1"/>
</workbook>
</file>

<file path=xl/calcChain.xml><?xml version="1.0" encoding="utf-8"?>
<calcChain xmlns="http://schemas.openxmlformats.org/spreadsheetml/2006/main">
  <c r="M69" i="10"/>
  <c r="M70"/>
  <c r="X21" i="9"/>
  <c r="N47" i="3"/>
  <c r="M31" i="5"/>
  <c r="M35"/>
  <c r="L31"/>
  <c r="N183" i="10"/>
  <c r="N182"/>
  <c r="I98"/>
  <c r="J98"/>
  <c r="K98"/>
  <c r="L98"/>
  <c r="M98"/>
  <c r="N98"/>
  <c r="I99"/>
  <c r="J99"/>
  <c r="K99"/>
  <c r="L99"/>
  <c r="M99"/>
  <c r="N99"/>
  <c r="I100"/>
  <c r="J100"/>
  <c r="K100"/>
  <c r="L100"/>
  <c r="M100"/>
  <c r="N100"/>
  <c r="I103"/>
  <c r="J103"/>
  <c r="K103"/>
  <c r="L103"/>
  <c r="M103"/>
  <c r="N103"/>
  <c r="I104"/>
  <c r="J104"/>
  <c r="K104"/>
  <c r="L104"/>
  <c r="M104"/>
  <c r="N104"/>
  <c r="I105"/>
  <c r="J105"/>
  <c r="K105"/>
  <c r="L105"/>
  <c r="M105"/>
  <c r="N105"/>
  <c r="I106"/>
  <c r="J106"/>
  <c r="K106"/>
  <c r="L106"/>
  <c r="M106"/>
  <c r="N106"/>
  <c r="I107"/>
  <c r="J107"/>
  <c r="K107"/>
  <c r="L107"/>
  <c r="M107"/>
  <c r="N107"/>
  <c r="J73"/>
  <c r="K73"/>
  <c r="L73"/>
  <c r="M73"/>
  <c r="N73"/>
  <c r="J74"/>
  <c r="K74"/>
  <c r="L74"/>
  <c r="M74"/>
  <c r="N74"/>
  <c r="O74"/>
  <c r="J75"/>
  <c r="K75"/>
  <c r="L75"/>
  <c r="M75"/>
  <c r="N75"/>
  <c r="J76"/>
  <c r="K76"/>
  <c r="L76"/>
  <c r="M76"/>
  <c r="N76"/>
  <c r="O76"/>
  <c r="J77"/>
  <c r="K77"/>
  <c r="L77"/>
  <c r="M77"/>
  <c r="N77"/>
  <c r="J78"/>
  <c r="K78"/>
  <c r="L78"/>
  <c r="M78"/>
  <c r="N78"/>
  <c r="O78"/>
  <c r="J79"/>
  <c r="K79"/>
  <c r="L79"/>
  <c r="M79"/>
  <c r="N79"/>
  <c r="J80"/>
  <c r="K80"/>
  <c r="L80"/>
  <c r="M80"/>
  <c r="N80"/>
  <c r="O80"/>
  <c r="J81"/>
  <c r="K81"/>
  <c r="L81"/>
  <c r="M81"/>
  <c r="N81"/>
  <c r="J82"/>
  <c r="K82"/>
  <c r="L82"/>
  <c r="M82"/>
  <c r="N82"/>
  <c r="J83"/>
  <c r="K83"/>
  <c r="L83"/>
  <c r="M83"/>
  <c r="N83"/>
  <c r="J84"/>
  <c r="K84"/>
  <c r="L84"/>
  <c r="M84"/>
  <c r="N84"/>
  <c r="J85"/>
  <c r="K85"/>
  <c r="L85"/>
  <c r="M85"/>
  <c r="N85"/>
  <c r="I87"/>
  <c r="J87"/>
  <c r="K87"/>
  <c r="L87"/>
  <c r="M87"/>
  <c r="N87"/>
  <c r="I88"/>
  <c r="J88"/>
  <c r="K88"/>
  <c r="L88"/>
  <c r="M88"/>
  <c r="N88"/>
  <c r="I89"/>
  <c r="J89"/>
  <c r="K89"/>
  <c r="L89"/>
  <c r="M89"/>
  <c r="N89"/>
  <c r="I90"/>
  <c r="J90"/>
  <c r="K90"/>
  <c r="L90"/>
  <c r="M90"/>
  <c r="N90"/>
  <c r="I91"/>
  <c r="J91"/>
  <c r="K91"/>
  <c r="L91"/>
  <c r="M91"/>
  <c r="I92"/>
  <c r="J92"/>
  <c r="K92"/>
  <c r="L92"/>
  <c r="M92"/>
  <c r="N92"/>
  <c r="O92"/>
  <c r="P92"/>
  <c r="Q92"/>
  <c r="O73"/>
  <c r="P73"/>
  <c r="Q73"/>
  <c r="P74"/>
  <c r="Q74"/>
  <c r="O75"/>
  <c r="P75"/>
  <c r="Q75"/>
  <c r="P76"/>
  <c r="Q76"/>
  <c r="O77"/>
  <c r="P77"/>
  <c r="Q77"/>
  <c r="P78"/>
  <c r="Q78"/>
  <c r="O79"/>
  <c r="P79"/>
  <c r="Q79"/>
  <c r="P80"/>
  <c r="Q80"/>
  <c r="O81"/>
  <c r="P81"/>
  <c r="Q81"/>
  <c r="O82"/>
  <c r="P82"/>
  <c r="Q82"/>
  <c r="O83"/>
  <c r="P83"/>
  <c r="O84"/>
  <c r="P84"/>
  <c r="Q84"/>
  <c r="O85"/>
  <c r="P85"/>
  <c r="Q85"/>
  <c r="O87"/>
  <c r="P87"/>
  <c r="O88"/>
  <c r="P88"/>
  <c r="Q88"/>
  <c r="O89"/>
  <c r="P89"/>
  <c r="Q89"/>
  <c r="O90"/>
  <c r="P90"/>
  <c r="Q90"/>
  <c r="O98"/>
  <c r="P98"/>
  <c r="Q98"/>
  <c r="R98"/>
  <c r="O99"/>
  <c r="P99"/>
  <c r="Q99"/>
  <c r="R99"/>
  <c r="O100"/>
  <c r="P100"/>
  <c r="Q100"/>
  <c r="R100"/>
  <c r="O103"/>
  <c r="P103"/>
  <c r="Q103"/>
  <c r="R103"/>
  <c r="O104"/>
  <c r="P104"/>
  <c r="Q104"/>
  <c r="R104"/>
  <c r="O105"/>
  <c r="P105"/>
  <c r="Q105"/>
  <c r="R105"/>
  <c r="O106"/>
  <c r="P106"/>
  <c r="Q106"/>
  <c r="R106"/>
  <c r="O107"/>
  <c r="P107"/>
  <c r="Q107"/>
  <c r="R107"/>
  <c r="O72"/>
  <c r="M72"/>
  <c r="M185"/>
  <c r="M184"/>
  <c r="V35" i="5"/>
  <c r="V33" s="1"/>
  <c r="A16" i="10"/>
  <c r="G73"/>
  <c r="G74"/>
  <c r="G75"/>
  <c r="G76"/>
  <c r="G77"/>
  <c r="G78"/>
  <c r="G79"/>
  <c r="G80"/>
  <c r="G81"/>
  <c r="G82"/>
  <c r="G83"/>
  <c r="G84"/>
  <c r="G85"/>
  <c r="G110"/>
  <c r="D9" i="5"/>
  <c r="G9"/>
  <c r="H9" s="1"/>
  <c r="I9" s="1"/>
  <c r="J9" s="1"/>
  <c r="K9" s="1"/>
  <c r="N31"/>
  <c r="N30" s="1"/>
  <c r="L30"/>
  <c r="L25"/>
  <c r="L41"/>
  <c r="M26"/>
  <c r="M25"/>
  <c r="M41" s="1"/>
  <c r="N26" s="1"/>
  <c r="M30"/>
  <c r="O31"/>
  <c r="O32"/>
  <c r="O30"/>
  <c r="Q184" i="10"/>
  <c r="P32" i="5"/>
  <c r="V58"/>
  <c r="V53" i="3"/>
  <c r="V54"/>
  <c r="V55"/>
  <c r="V56"/>
  <c r="V57"/>
  <c r="V58"/>
  <c r="S98" i="10"/>
  <c r="T98"/>
  <c r="U98"/>
  <c r="V98"/>
  <c r="W98"/>
  <c r="S99"/>
  <c r="T99"/>
  <c r="U99"/>
  <c r="V99"/>
  <c r="W99"/>
  <c r="S100"/>
  <c r="T100"/>
  <c r="U100"/>
  <c r="V100"/>
  <c r="W100"/>
  <c r="S103"/>
  <c r="T103"/>
  <c r="U103"/>
  <c r="V103"/>
  <c r="W103"/>
  <c r="S104"/>
  <c r="T104"/>
  <c r="U104"/>
  <c r="V104"/>
  <c r="W104"/>
  <c r="S105"/>
  <c r="T105"/>
  <c r="U105"/>
  <c r="V105"/>
  <c r="W105"/>
  <c r="S106"/>
  <c r="T106"/>
  <c r="U106"/>
  <c r="V106"/>
  <c r="W106"/>
  <c r="S107"/>
  <c r="T107"/>
  <c r="U107"/>
  <c r="V107"/>
  <c r="W107"/>
  <c r="V67" i="3"/>
  <c r="V70"/>
  <c r="K32" i="9"/>
  <c r="L32"/>
  <c r="B28" i="46"/>
  <c r="K31" i="9"/>
  <c r="L31"/>
  <c r="B27" i="46"/>
  <c r="J30" i="9"/>
  <c r="K30"/>
  <c r="L30"/>
  <c r="J25"/>
  <c r="K25"/>
  <c r="L25"/>
  <c r="I26"/>
  <c r="J26"/>
  <c r="K26"/>
  <c r="L26"/>
  <c r="M26"/>
  <c r="I33"/>
  <c r="J33"/>
  <c r="K33"/>
  <c r="L33"/>
  <c r="M33"/>
  <c r="I34"/>
  <c r="J34"/>
  <c r="K34"/>
  <c r="L34"/>
  <c r="M34"/>
  <c r="N34"/>
  <c r="I65"/>
  <c r="J65"/>
  <c r="K65"/>
  <c r="L65"/>
  <c r="M65"/>
  <c r="A35" i="10"/>
  <c r="AJ32" i="4"/>
  <c r="AJ35"/>
  <c r="AJ31" s="1"/>
  <c r="AJ44"/>
  <c r="AJ52"/>
  <c r="N26" i="9"/>
  <c r="O26"/>
  <c r="P26"/>
  <c r="Q26"/>
  <c r="R26"/>
  <c r="S26"/>
  <c r="T26"/>
  <c r="U26"/>
  <c r="V26"/>
  <c r="W26"/>
  <c r="N31"/>
  <c r="O31"/>
  <c r="P31"/>
  <c r="Q31"/>
  <c r="R31"/>
  <c r="S31"/>
  <c r="T31"/>
  <c r="U31"/>
  <c r="V31"/>
  <c r="W31"/>
  <c r="N32"/>
  <c r="O32"/>
  <c r="P32"/>
  <c r="Q32"/>
  <c r="R32"/>
  <c r="S32"/>
  <c r="T32"/>
  <c r="U32"/>
  <c r="V32"/>
  <c r="W32"/>
  <c r="N33"/>
  <c r="O33"/>
  <c r="P33"/>
  <c r="Q33"/>
  <c r="R33"/>
  <c r="S33"/>
  <c r="T33"/>
  <c r="U33"/>
  <c r="V33"/>
  <c r="W33"/>
  <c r="O34"/>
  <c r="P34"/>
  <c r="Q34"/>
  <c r="R34"/>
  <c r="S34"/>
  <c r="T34"/>
  <c r="U34"/>
  <c r="V34"/>
  <c r="W34"/>
  <c r="N65"/>
  <c r="O65"/>
  <c r="P65"/>
  <c r="Q65"/>
  <c r="R65"/>
  <c r="S65"/>
  <c r="T65"/>
  <c r="U65"/>
  <c r="V65"/>
  <c r="W65"/>
  <c r="N80"/>
  <c r="O80"/>
  <c r="P80"/>
  <c r="Q80"/>
  <c r="R80"/>
  <c r="S80"/>
  <c r="T80"/>
  <c r="U80"/>
  <c r="V80"/>
  <c r="N17" i="10"/>
  <c r="O17"/>
  <c r="P17"/>
  <c r="Q17"/>
  <c r="R17"/>
  <c r="S17"/>
  <c r="T17"/>
  <c r="U17"/>
  <c r="V17"/>
  <c r="V144" i="3"/>
  <c r="V142"/>
  <c r="V141"/>
  <c r="V137"/>
  <c r="R73" i="10"/>
  <c r="S73"/>
  <c r="T73"/>
  <c r="R74"/>
  <c r="S74"/>
  <c r="T74"/>
  <c r="U74"/>
  <c r="V74"/>
  <c r="W74"/>
  <c r="R75"/>
  <c r="S75"/>
  <c r="T75"/>
  <c r="U75"/>
  <c r="V75"/>
  <c r="W75"/>
  <c r="R76"/>
  <c r="S76"/>
  <c r="T76"/>
  <c r="U76"/>
  <c r="V76"/>
  <c r="W76"/>
  <c r="R77"/>
  <c r="S77"/>
  <c r="T77"/>
  <c r="U77"/>
  <c r="V77"/>
  <c r="W77"/>
  <c r="R78"/>
  <c r="S78"/>
  <c r="T78"/>
  <c r="U78"/>
  <c r="V78"/>
  <c r="W78"/>
  <c r="R79"/>
  <c r="S79"/>
  <c r="T79"/>
  <c r="U79"/>
  <c r="V79"/>
  <c r="W79"/>
  <c r="R80"/>
  <c r="S80"/>
  <c r="T80"/>
  <c r="U80"/>
  <c r="V80"/>
  <c r="W80"/>
  <c r="R81"/>
  <c r="S81"/>
  <c r="T81"/>
  <c r="U81"/>
  <c r="V81"/>
  <c r="W81"/>
  <c r="R82"/>
  <c r="S82"/>
  <c r="T82"/>
  <c r="U82"/>
  <c r="V82"/>
  <c r="W82"/>
  <c r="R84"/>
  <c r="S84"/>
  <c r="T84"/>
  <c r="U84"/>
  <c r="V84"/>
  <c r="W84"/>
  <c r="R85"/>
  <c r="S85"/>
  <c r="T85"/>
  <c r="U85"/>
  <c r="V85"/>
  <c r="W85"/>
  <c r="R88"/>
  <c r="S88"/>
  <c r="T88"/>
  <c r="U88"/>
  <c r="V88"/>
  <c r="W88"/>
  <c r="R89"/>
  <c r="S89"/>
  <c r="T89"/>
  <c r="U89"/>
  <c r="V89"/>
  <c r="W89"/>
  <c r="R90"/>
  <c r="S90"/>
  <c r="T90"/>
  <c r="U90"/>
  <c r="V90"/>
  <c r="W90"/>
  <c r="R92"/>
  <c r="S92"/>
  <c r="T92"/>
  <c r="U92"/>
  <c r="V92"/>
  <c r="W92"/>
  <c r="M183"/>
  <c r="M182"/>
  <c r="M18"/>
  <c r="Q183"/>
  <c r="Q182"/>
  <c r="P183"/>
  <c r="P182"/>
  <c r="O183"/>
  <c r="O182"/>
  <c r="M63"/>
  <c r="W181"/>
  <c r="V61" i="3" s="1"/>
  <c r="N18" i="9"/>
  <c r="O18"/>
  <c r="P18"/>
  <c r="Q18"/>
  <c r="R18"/>
  <c r="S18"/>
  <c r="W54" i="10"/>
  <c r="W53"/>
  <c r="N19"/>
  <c r="O19"/>
  <c r="P19"/>
  <c r="Q19"/>
  <c r="R19"/>
  <c r="S19"/>
  <c r="T19"/>
  <c r="U19"/>
  <c r="V19"/>
  <c r="W19"/>
  <c r="W18"/>
  <c r="W9" i="9"/>
  <c r="W10" i="10" s="1"/>
  <c r="V73" i="3"/>
  <c r="V72"/>
  <c r="V69"/>
  <c r="K63" i="9"/>
  <c r="L63"/>
  <c r="K56"/>
  <c r="K55"/>
  <c r="K51"/>
  <c r="N55"/>
  <c r="O55"/>
  <c r="P55"/>
  <c r="Q55"/>
  <c r="R55"/>
  <c r="S55"/>
  <c r="T55"/>
  <c r="U55"/>
  <c r="V55"/>
  <c r="W55"/>
  <c r="L56"/>
  <c r="B44" i="46"/>
  <c r="M56" i="9"/>
  <c r="N56"/>
  <c r="O56"/>
  <c r="P56"/>
  <c r="Q56"/>
  <c r="R56"/>
  <c r="S56"/>
  <c r="T56"/>
  <c r="U56"/>
  <c r="V56"/>
  <c r="I57"/>
  <c r="J57"/>
  <c r="K57"/>
  <c r="L57"/>
  <c r="N57"/>
  <c r="O57"/>
  <c r="P57"/>
  <c r="Q57"/>
  <c r="R57"/>
  <c r="S57"/>
  <c r="T57"/>
  <c r="U57"/>
  <c r="V57"/>
  <c r="W57"/>
  <c r="I58"/>
  <c r="J58"/>
  <c r="K58"/>
  <c r="L58"/>
  <c r="M58"/>
  <c r="N58"/>
  <c r="O58"/>
  <c r="P58"/>
  <c r="Q58"/>
  <c r="R58"/>
  <c r="S58"/>
  <c r="T58"/>
  <c r="U58"/>
  <c r="V58"/>
  <c r="W58"/>
  <c r="J64"/>
  <c r="K64"/>
  <c r="L64"/>
  <c r="N64"/>
  <c r="N63" i="10"/>
  <c r="O64" i="9"/>
  <c r="N51"/>
  <c r="O51"/>
  <c r="P51"/>
  <c r="Q51"/>
  <c r="R51"/>
  <c r="S51"/>
  <c r="T51"/>
  <c r="U51"/>
  <c r="V51"/>
  <c r="W51"/>
  <c r="I67"/>
  <c r="J67"/>
  <c r="K67"/>
  <c r="L67"/>
  <c r="N67"/>
  <c r="O67"/>
  <c r="P67"/>
  <c r="Q67"/>
  <c r="R67"/>
  <c r="S67"/>
  <c r="T67"/>
  <c r="U67"/>
  <c r="V67"/>
  <c r="I68"/>
  <c r="J68"/>
  <c r="K68"/>
  <c r="L68"/>
  <c r="N68"/>
  <c r="O68"/>
  <c r="P68"/>
  <c r="Q68"/>
  <c r="R68"/>
  <c r="S68"/>
  <c r="T68"/>
  <c r="U68"/>
  <c r="V68"/>
  <c r="W68"/>
  <c r="I69"/>
  <c r="J69"/>
  <c r="K69"/>
  <c r="L69"/>
  <c r="M69"/>
  <c r="I71"/>
  <c r="J71"/>
  <c r="K71"/>
  <c r="L71"/>
  <c r="M71"/>
  <c r="N71"/>
  <c r="O71"/>
  <c r="P71"/>
  <c r="Q71"/>
  <c r="R71"/>
  <c r="S71"/>
  <c r="T71"/>
  <c r="U71"/>
  <c r="V71"/>
  <c r="W71"/>
  <c r="J72"/>
  <c r="K72"/>
  <c r="L72"/>
  <c r="M72"/>
  <c r="N72"/>
  <c r="O72"/>
  <c r="P72"/>
  <c r="Q72"/>
  <c r="R72"/>
  <c r="S72"/>
  <c r="T72"/>
  <c r="U72"/>
  <c r="V72"/>
  <c r="I73"/>
  <c r="J73"/>
  <c r="K73"/>
  <c r="L73"/>
  <c r="M73"/>
  <c r="N73"/>
  <c r="O73"/>
  <c r="P73"/>
  <c r="Q73"/>
  <c r="R73"/>
  <c r="S73"/>
  <c r="T73"/>
  <c r="U73"/>
  <c r="V73"/>
  <c r="J18"/>
  <c r="K18"/>
  <c r="L18"/>
  <c r="Y14" i="4"/>
  <c r="V18" i="10"/>
  <c r="U35" i="5"/>
  <c r="U33" s="1"/>
  <c r="U58"/>
  <c r="AI32" i="4"/>
  <c r="AI35"/>
  <c r="AI31"/>
  <c r="AI44"/>
  <c r="AI52"/>
  <c r="I78" i="9"/>
  <c r="J78"/>
  <c r="K78"/>
  <c r="L78"/>
  <c r="M78"/>
  <c r="N78"/>
  <c r="O78"/>
  <c r="P78"/>
  <c r="Q78"/>
  <c r="R78"/>
  <c r="S78"/>
  <c r="T78"/>
  <c r="U78"/>
  <c r="V78"/>
  <c r="W78"/>
  <c r="I75"/>
  <c r="J75"/>
  <c r="K75"/>
  <c r="L75"/>
  <c r="M75"/>
  <c r="N75"/>
  <c r="O75"/>
  <c r="P75"/>
  <c r="Q75"/>
  <c r="R75"/>
  <c r="S75"/>
  <c r="T75"/>
  <c r="U75"/>
  <c r="V75"/>
  <c r="I76"/>
  <c r="J76"/>
  <c r="K76"/>
  <c r="L76"/>
  <c r="N76"/>
  <c r="O76"/>
  <c r="P76"/>
  <c r="Q76"/>
  <c r="R76"/>
  <c r="S76"/>
  <c r="T76"/>
  <c r="U76"/>
  <c r="V76"/>
  <c r="W76"/>
  <c r="I77"/>
  <c r="J77"/>
  <c r="K77"/>
  <c r="L77"/>
  <c r="N77"/>
  <c r="O77"/>
  <c r="P77"/>
  <c r="Q77"/>
  <c r="R77"/>
  <c r="S77"/>
  <c r="T77"/>
  <c r="U77"/>
  <c r="V77"/>
  <c r="W77"/>
  <c r="V181" i="10"/>
  <c r="U61" i="3"/>
  <c r="I111" i="10"/>
  <c r="J111"/>
  <c r="K111" s="1"/>
  <c r="V54"/>
  <c r="V52" s="1"/>
  <c r="U49" i="3" s="1"/>
  <c r="V53" i="10"/>
  <c r="AI76" i="4"/>
  <c r="U144" i="3"/>
  <c r="J26" i="5"/>
  <c r="J31"/>
  <c r="J30"/>
  <c r="J25"/>
  <c r="J41"/>
  <c r="J38"/>
  <c r="K26"/>
  <c r="K30"/>
  <c r="K25"/>
  <c r="K38"/>
  <c r="K41"/>
  <c r="U142" i="3"/>
  <c r="U141"/>
  <c r="U137"/>
  <c r="U52"/>
  <c r="U53"/>
  <c r="U54"/>
  <c r="U55"/>
  <c r="U56"/>
  <c r="U57"/>
  <c r="U58"/>
  <c r="U67"/>
  <c r="U70"/>
  <c r="U69"/>
  <c r="U73"/>
  <c r="U72"/>
  <c r="V9" i="9"/>
  <c r="AI8" i="4" s="1"/>
  <c r="AI69" s="1"/>
  <c r="L28" i="10"/>
  <c r="B4"/>
  <c r="B3" i="3"/>
  <c r="B3" i="10"/>
  <c r="B2" i="3"/>
  <c r="K185" i="10"/>
  <c r="T35" i="5"/>
  <c r="T33" s="1"/>
  <c r="T58"/>
  <c r="AH32" i="4"/>
  <c r="AH35"/>
  <c r="AH44"/>
  <c r="AH52"/>
  <c r="T137" i="3"/>
  <c r="T141"/>
  <c r="T142"/>
  <c r="T144"/>
  <c r="T53"/>
  <c r="T54"/>
  <c r="T55"/>
  <c r="T56"/>
  <c r="T57"/>
  <c r="T58"/>
  <c r="T67"/>
  <c r="T70"/>
  <c r="T69" s="1"/>
  <c r="T72"/>
  <c r="T73"/>
  <c r="F18" i="23"/>
  <c r="G18"/>
  <c r="H18"/>
  <c r="I18"/>
  <c r="J18"/>
  <c r="K18"/>
  <c r="L18"/>
  <c r="M18"/>
  <c r="N18"/>
  <c r="O18"/>
  <c r="P18"/>
  <c r="Q18"/>
  <c r="R18"/>
  <c r="U53" i="10"/>
  <c r="U54"/>
  <c r="U181"/>
  <c r="T61" i="3"/>
  <c r="U9" i="9"/>
  <c r="AH8" i="4"/>
  <c r="AH69" s="1"/>
  <c r="D28" i="46"/>
  <c r="F28" s="1"/>
  <c r="D27"/>
  <c r="F27" s="1"/>
  <c r="I33" i="10"/>
  <c r="J33"/>
  <c r="J34"/>
  <c r="K34"/>
  <c r="I36"/>
  <c r="J36"/>
  <c r="K36"/>
  <c r="I37"/>
  <c r="J37"/>
  <c r="K37"/>
  <c r="I40"/>
  <c r="J40"/>
  <c r="I38"/>
  <c r="J38"/>
  <c r="K38"/>
  <c r="L38"/>
  <c r="M38"/>
  <c r="N38"/>
  <c r="O38"/>
  <c r="P38"/>
  <c r="Q38"/>
  <c r="I39"/>
  <c r="J39"/>
  <c r="J35"/>
  <c r="I43"/>
  <c r="J43"/>
  <c r="K43"/>
  <c r="I44"/>
  <c r="J44"/>
  <c r="I45"/>
  <c r="J45"/>
  <c r="K45"/>
  <c r="J42"/>
  <c r="I46"/>
  <c r="J46"/>
  <c r="K46"/>
  <c r="I47"/>
  <c r="J47"/>
  <c r="K47"/>
  <c r="J70"/>
  <c r="J15" i="9"/>
  <c r="K15"/>
  <c r="L15"/>
  <c r="M15"/>
  <c r="N15"/>
  <c r="O15"/>
  <c r="P15"/>
  <c r="Q15"/>
  <c r="R15"/>
  <c r="S15"/>
  <c r="T15"/>
  <c r="U15"/>
  <c r="V15"/>
  <c r="K32" i="10"/>
  <c r="M32"/>
  <c r="N32"/>
  <c r="O32"/>
  <c r="P32"/>
  <c r="K33"/>
  <c r="L33"/>
  <c r="M33"/>
  <c r="L34"/>
  <c r="M34"/>
  <c r="N34"/>
  <c r="L36"/>
  <c r="K40"/>
  <c r="L40"/>
  <c r="M40"/>
  <c r="N40"/>
  <c r="O40"/>
  <c r="P40"/>
  <c r="Q40"/>
  <c r="R40"/>
  <c r="S40"/>
  <c r="T40"/>
  <c r="U40"/>
  <c r="V40"/>
  <c r="K39"/>
  <c r="L39"/>
  <c r="M39"/>
  <c r="N39"/>
  <c r="O39"/>
  <c r="P39"/>
  <c r="Q39"/>
  <c r="R39"/>
  <c r="S39"/>
  <c r="T39"/>
  <c r="U39"/>
  <c r="V39"/>
  <c r="W39"/>
  <c r="L43"/>
  <c r="K44"/>
  <c r="L44"/>
  <c r="M44"/>
  <c r="N44"/>
  <c r="O44"/>
  <c r="P44"/>
  <c r="Q44"/>
  <c r="R44"/>
  <c r="S44"/>
  <c r="T44"/>
  <c r="U44"/>
  <c r="V44"/>
  <c r="W44"/>
  <c r="L45"/>
  <c r="M45"/>
  <c r="N45"/>
  <c r="O45"/>
  <c r="P45"/>
  <c r="Q45"/>
  <c r="R45"/>
  <c r="S45"/>
  <c r="T45"/>
  <c r="U45"/>
  <c r="V45"/>
  <c r="W45"/>
  <c r="L46"/>
  <c r="M46"/>
  <c r="N46"/>
  <c r="O46"/>
  <c r="P46"/>
  <c r="Q46"/>
  <c r="R46"/>
  <c r="S46"/>
  <c r="T46"/>
  <c r="U46"/>
  <c r="V46"/>
  <c r="W46"/>
  <c r="L47"/>
  <c r="M47"/>
  <c r="N47"/>
  <c r="O47"/>
  <c r="P47"/>
  <c r="Q47"/>
  <c r="R47"/>
  <c r="S47"/>
  <c r="T47"/>
  <c r="U47"/>
  <c r="V47"/>
  <c r="W47"/>
  <c r="K48"/>
  <c r="M48"/>
  <c r="N48"/>
  <c r="O48"/>
  <c r="P48"/>
  <c r="Q48"/>
  <c r="R48"/>
  <c r="AE14" i="4"/>
  <c r="AD14"/>
  <c r="AC14"/>
  <c r="AB14"/>
  <c r="AA14"/>
  <c r="Z14"/>
  <c r="X14"/>
  <c r="V14"/>
  <c r="W14"/>
  <c r="C50" i="46"/>
  <c r="C45"/>
  <c r="D44"/>
  <c r="F44" s="1"/>
  <c r="C40"/>
  <c r="C36"/>
  <c r="C35"/>
  <c r="C33"/>
  <c r="C32"/>
  <c r="C11"/>
  <c r="C10"/>
  <c r="C29"/>
  <c r="C23"/>
  <c r="C12"/>
  <c r="E44"/>
  <c r="I141" i="3"/>
  <c r="I26" i="5"/>
  <c r="J97" i="10"/>
  <c r="J185"/>
  <c r="J184"/>
  <c r="S35" i="5"/>
  <c r="S33" s="1"/>
  <c r="S42" s="1"/>
  <c r="S64" s="1"/>
  <c r="A23" i="10"/>
  <c r="I31" i="5"/>
  <c r="I30"/>
  <c r="I25" s="1"/>
  <c r="I41" s="1"/>
  <c r="I145" i="3" s="1"/>
  <c r="R35" i="5"/>
  <c r="R33"/>
  <c r="R42" s="1"/>
  <c r="R64" s="1"/>
  <c r="Q35"/>
  <c r="Q33"/>
  <c r="Q42" s="1"/>
  <c r="Q64" s="1"/>
  <c r="P35"/>
  <c r="P33"/>
  <c r="P42" s="1"/>
  <c r="P64" s="1"/>
  <c r="S58"/>
  <c r="R58"/>
  <c r="Q58"/>
  <c r="P58"/>
  <c r="AG32" i="4"/>
  <c r="AG35"/>
  <c r="AG31"/>
  <c r="AG44"/>
  <c r="AG52"/>
  <c r="AF32"/>
  <c r="AF35"/>
  <c r="AF31"/>
  <c r="AF44"/>
  <c r="AF52"/>
  <c r="AE32"/>
  <c r="AE35"/>
  <c r="AE31"/>
  <c r="AE44"/>
  <c r="AE52"/>
  <c r="AD32"/>
  <c r="AD35"/>
  <c r="AD31"/>
  <c r="AD44"/>
  <c r="AD52"/>
  <c r="N18" i="3"/>
  <c r="N42"/>
  <c r="M18"/>
  <c r="M42"/>
  <c r="L18"/>
  <c r="L42"/>
  <c r="K18"/>
  <c r="K37"/>
  <c r="K39"/>
  <c r="K42"/>
  <c r="K47"/>
  <c r="K46"/>
  <c r="S144"/>
  <c r="R143"/>
  <c r="R144"/>
  <c r="Q144"/>
  <c r="P144"/>
  <c r="S142"/>
  <c r="R142"/>
  <c r="Q142"/>
  <c r="P142"/>
  <c r="S141"/>
  <c r="R141"/>
  <c r="Q141"/>
  <c r="P141"/>
  <c r="S137"/>
  <c r="R137"/>
  <c r="Q137"/>
  <c r="P137"/>
  <c r="S53"/>
  <c r="S54"/>
  <c r="S55"/>
  <c r="S56"/>
  <c r="S57"/>
  <c r="S58"/>
  <c r="R18"/>
  <c r="R53"/>
  <c r="R54"/>
  <c r="R55"/>
  <c r="R56"/>
  <c r="R57"/>
  <c r="R58"/>
  <c r="Q18"/>
  <c r="Q53"/>
  <c r="Q54"/>
  <c r="Q55"/>
  <c r="Q56"/>
  <c r="Q57"/>
  <c r="Q58"/>
  <c r="P18"/>
  <c r="P42"/>
  <c r="P53"/>
  <c r="P54"/>
  <c r="P55"/>
  <c r="P56"/>
  <c r="P57"/>
  <c r="P58"/>
  <c r="S67"/>
  <c r="S70"/>
  <c r="S69" s="1"/>
  <c r="R67"/>
  <c r="R70"/>
  <c r="Q67"/>
  <c r="Q70"/>
  <c r="Q69"/>
  <c r="P67"/>
  <c r="P70"/>
  <c r="S73"/>
  <c r="R73"/>
  <c r="Q73"/>
  <c r="P73"/>
  <c r="S72"/>
  <c r="R72"/>
  <c r="Q72"/>
  <c r="P72"/>
  <c r="R69"/>
  <c r="P69"/>
  <c r="J18" i="10"/>
  <c r="J21"/>
  <c r="J23"/>
  <c r="J20"/>
  <c r="J26"/>
  <c r="K19"/>
  <c r="U18"/>
  <c r="T18"/>
  <c r="K22"/>
  <c r="M22"/>
  <c r="N22"/>
  <c r="O22"/>
  <c r="K24"/>
  <c r="M24"/>
  <c r="N24"/>
  <c r="K25"/>
  <c r="M25"/>
  <c r="N25"/>
  <c r="O25"/>
  <c r="P25"/>
  <c r="Q25"/>
  <c r="R25"/>
  <c r="S25"/>
  <c r="T25"/>
  <c r="U25"/>
  <c r="V25"/>
  <c r="W25"/>
  <c r="K27"/>
  <c r="M27"/>
  <c r="N27"/>
  <c r="K28"/>
  <c r="M28"/>
  <c r="N28"/>
  <c r="O28"/>
  <c r="P28"/>
  <c r="Q28"/>
  <c r="R28"/>
  <c r="S28"/>
  <c r="T28"/>
  <c r="U28"/>
  <c r="V28"/>
  <c r="W28"/>
  <c r="K50"/>
  <c r="M50"/>
  <c r="N50"/>
  <c r="O50"/>
  <c r="P50"/>
  <c r="Q50"/>
  <c r="R50"/>
  <c r="S50"/>
  <c r="K51"/>
  <c r="M51"/>
  <c r="N51"/>
  <c r="O51"/>
  <c r="P51"/>
  <c r="Q51"/>
  <c r="R51"/>
  <c r="S51"/>
  <c r="S18"/>
  <c r="R18"/>
  <c r="Q18"/>
  <c r="P18"/>
  <c r="O18"/>
  <c r="N18"/>
  <c r="M21"/>
  <c r="L183"/>
  <c r="L182"/>
  <c r="L18"/>
  <c r="L16"/>
  <c r="L21"/>
  <c r="L23"/>
  <c r="L20"/>
  <c r="L26"/>
  <c r="K183"/>
  <c r="K182"/>
  <c r="K18"/>
  <c r="K16"/>
  <c r="K21"/>
  <c r="K23"/>
  <c r="K20"/>
  <c r="K26"/>
  <c r="J183"/>
  <c r="J182"/>
  <c r="J96"/>
  <c r="J95"/>
  <c r="J94"/>
  <c r="J69"/>
  <c r="J63"/>
  <c r="J190"/>
  <c r="K190"/>
  <c r="L190"/>
  <c r="M190"/>
  <c r="I189"/>
  <c r="J189"/>
  <c r="K189"/>
  <c r="L189"/>
  <c r="M189"/>
  <c r="N189"/>
  <c r="J188"/>
  <c r="K188"/>
  <c r="M188"/>
  <c r="N188"/>
  <c r="O188"/>
  <c r="L14" i="23"/>
  <c r="T181" i="10"/>
  <c r="S61" i="3"/>
  <c r="S181" i="10"/>
  <c r="R61" i="3"/>
  <c r="R181" i="10"/>
  <c r="Q61" i="3"/>
  <c r="I180" i="10"/>
  <c r="J180"/>
  <c r="K180"/>
  <c r="L180"/>
  <c r="M180"/>
  <c r="N180"/>
  <c r="O180"/>
  <c r="P180"/>
  <c r="Q180"/>
  <c r="R180"/>
  <c r="S180"/>
  <c r="T180"/>
  <c r="U180"/>
  <c r="V180"/>
  <c r="W180"/>
  <c r="I179"/>
  <c r="J179"/>
  <c r="K179"/>
  <c r="L179"/>
  <c r="M179"/>
  <c r="N179"/>
  <c r="O179"/>
  <c r="P179"/>
  <c r="Q179"/>
  <c r="R179"/>
  <c r="S179"/>
  <c r="T179"/>
  <c r="U179"/>
  <c r="V179"/>
  <c r="W179"/>
  <c r="I178"/>
  <c r="J178"/>
  <c r="K178"/>
  <c r="L178"/>
  <c r="M178"/>
  <c r="N178"/>
  <c r="O178"/>
  <c r="P178"/>
  <c r="Q178"/>
  <c r="R178"/>
  <c r="S178"/>
  <c r="T178"/>
  <c r="U178"/>
  <c r="V178"/>
  <c r="W178"/>
  <c r="I177"/>
  <c r="J177"/>
  <c r="K177"/>
  <c r="L177"/>
  <c r="M177"/>
  <c r="N177"/>
  <c r="O177"/>
  <c r="P177"/>
  <c r="Q177"/>
  <c r="R177"/>
  <c r="S177"/>
  <c r="T177"/>
  <c r="U177"/>
  <c r="V177"/>
  <c r="W177"/>
  <c r="I176"/>
  <c r="J176"/>
  <c r="K176"/>
  <c r="L176"/>
  <c r="M176"/>
  <c r="N176"/>
  <c r="O176"/>
  <c r="P176"/>
  <c r="Q176"/>
  <c r="R176"/>
  <c r="S176"/>
  <c r="T176"/>
  <c r="U176"/>
  <c r="V176"/>
  <c r="W176"/>
  <c r="I175"/>
  <c r="J175"/>
  <c r="K175"/>
  <c r="L175"/>
  <c r="M175"/>
  <c r="N175"/>
  <c r="O175"/>
  <c r="P175"/>
  <c r="Q175"/>
  <c r="R175"/>
  <c r="S175"/>
  <c r="T175"/>
  <c r="U175"/>
  <c r="V175"/>
  <c r="W175"/>
  <c r="I174"/>
  <c r="J174"/>
  <c r="K174"/>
  <c r="L174"/>
  <c r="M174"/>
  <c r="N174"/>
  <c r="O174"/>
  <c r="P174"/>
  <c r="Q174"/>
  <c r="R174"/>
  <c r="S174"/>
  <c r="T174"/>
  <c r="U174"/>
  <c r="V174"/>
  <c r="W174"/>
  <c r="I173"/>
  <c r="J173"/>
  <c r="K173"/>
  <c r="L173"/>
  <c r="M173"/>
  <c r="N173"/>
  <c r="O173"/>
  <c r="P173"/>
  <c r="Q173"/>
  <c r="R173"/>
  <c r="S173"/>
  <c r="T173"/>
  <c r="U173"/>
  <c r="V173"/>
  <c r="W173"/>
  <c r="I172"/>
  <c r="J172"/>
  <c r="K172"/>
  <c r="L172"/>
  <c r="M172"/>
  <c r="N172"/>
  <c r="O172"/>
  <c r="P172"/>
  <c r="Q172"/>
  <c r="R172"/>
  <c r="S172"/>
  <c r="T172"/>
  <c r="U172"/>
  <c r="V172"/>
  <c r="W172"/>
  <c r="I171"/>
  <c r="J171"/>
  <c r="K171"/>
  <c r="L171"/>
  <c r="M171"/>
  <c r="N171"/>
  <c r="O171"/>
  <c r="P171"/>
  <c r="Q171"/>
  <c r="R171"/>
  <c r="S171"/>
  <c r="T171"/>
  <c r="U171"/>
  <c r="V171"/>
  <c r="W171"/>
  <c r="I170"/>
  <c r="J170"/>
  <c r="K170"/>
  <c r="L170"/>
  <c r="M170"/>
  <c r="N170"/>
  <c r="O170"/>
  <c r="P170"/>
  <c r="Q170"/>
  <c r="R170"/>
  <c r="S170"/>
  <c r="T170"/>
  <c r="U170"/>
  <c r="V170"/>
  <c r="W170"/>
  <c r="I169"/>
  <c r="J169"/>
  <c r="K169"/>
  <c r="L169"/>
  <c r="M169"/>
  <c r="N169"/>
  <c r="O169"/>
  <c r="P169"/>
  <c r="Q169"/>
  <c r="R169"/>
  <c r="S169"/>
  <c r="T169"/>
  <c r="U169"/>
  <c r="V169"/>
  <c r="W169"/>
  <c r="I168"/>
  <c r="J168"/>
  <c r="K168"/>
  <c r="L168"/>
  <c r="M168"/>
  <c r="N168"/>
  <c r="O168"/>
  <c r="P168"/>
  <c r="Q168"/>
  <c r="R168"/>
  <c r="S168"/>
  <c r="T168"/>
  <c r="U168"/>
  <c r="V168"/>
  <c r="W168"/>
  <c r="I167"/>
  <c r="I165"/>
  <c r="J165"/>
  <c r="K165"/>
  <c r="L165"/>
  <c r="M165"/>
  <c r="N165"/>
  <c r="O165"/>
  <c r="P165"/>
  <c r="Q165"/>
  <c r="R165"/>
  <c r="S165"/>
  <c r="T165"/>
  <c r="U165"/>
  <c r="V165"/>
  <c r="W165"/>
  <c r="I164"/>
  <c r="J164"/>
  <c r="K164"/>
  <c r="L164"/>
  <c r="M164"/>
  <c r="N164"/>
  <c r="O164"/>
  <c r="P164"/>
  <c r="Q164"/>
  <c r="R164"/>
  <c r="S164"/>
  <c r="T164"/>
  <c r="U164"/>
  <c r="V164"/>
  <c r="W164"/>
  <c r="I163"/>
  <c r="J163"/>
  <c r="K163"/>
  <c r="L163"/>
  <c r="M163"/>
  <c r="N163"/>
  <c r="O163"/>
  <c r="P163"/>
  <c r="Q163"/>
  <c r="R163"/>
  <c r="S163"/>
  <c r="T163"/>
  <c r="U163"/>
  <c r="V163"/>
  <c r="W163"/>
  <c r="I162"/>
  <c r="J162"/>
  <c r="K162"/>
  <c r="L162"/>
  <c r="M162"/>
  <c r="N162"/>
  <c r="O162"/>
  <c r="P162"/>
  <c r="Q162"/>
  <c r="R162"/>
  <c r="S162"/>
  <c r="T162"/>
  <c r="U162"/>
  <c r="V162"/>
  <c r="W162"/>
  <c r="I161"/>
  <c r="J161"/>
  <c r="I159"/>
  <c r="J159"/>
  <c r="K159"/>
  <c r="L159"/>
  <c r="M159"/>
  <c r="N159"/>
  <c r="O159"/>
  <c r="P159"/>
  <c r="Q159"/>
  <c r="R159"/>
  <c r="S159"/>
  <c r="T159"/>
  <c r="U159"/>
  <c r="V159"/>
  <c r="W159"/>
  <c r="I158"/>
  <c r="J158"/>
  <c r="K158"/>
  <c r="L158"/>
  <c r="M158"/>
  <c r="N158"/>
  <c r="O158"/>
  <c r="P158"/>
  <c r="Q158"/>
  <c r="R158"/>
  <c r="S158"/>
  <c r="T158"/>
  <c r="U158"/>
  <c r="V158"/>
  <c r="W158"/>
  <c r="I157"/>
  <c r="J157"/>
  <c r="K157"/>
  <c r="L157"/>
  <c r="M157"/>
  <c r="N157"/>
  <c r="O157"/>
  <c r="P157"/>
  <c r="Q157"/>
  <c r="R157"/>
  <c r="S157"/>
  <c r="T157"/>
  <c r="U157"/>
  <c r="V157"/>
  <c r="W157"/>
  <c r="I156"/>
  <c r="J156"/>
  <c r="K156"/>
  <c r="L156"/>
  <c r="M156"/>
  <c r="N156"/>
  <c r="O156"/>
  <c r="P156"/>
  <c r="Q156"/>
  <c r="R156"/>
  <c r="S156"/>
  <c r="T156"/>
  <c r="U156"/>
  <c r="V156"/>
  <c r="W156"/>
  <c r="I155"/>
  <c r="J155"/>
  <c r="K155"/>
  <c r="L155"/>
  <c r="M155"/>
  <c r="N155"/>
  <c r="O155"/>
  <c r="P155"/>
  <c r="Q155"/>
  <c r="R155"/>
  <c r="S155"/>
  <c r="T155"/>
  <c r="U155"/>
  <c r="V155"/>
  <c r="W155"/>
  <c r="I154"/>
  <c r="J154"/>
  <c r="K154"/>
  <c r="L154"/>
  <c r="M154"/>
  <c r="N154"/>
  <c r="O154"/>
  <c r="P154"/>
  <c r="Q154"/>
  <c r="R154"/>
  <c r="S154"/>
  <c r="T154"/>
  <c r="U154"/>
  <c r="V154"/>
  <c r="W154"/>
  <c r="I153"/>
  <c r="J153"/>
  <c r="K153"/>
  <c r="L153"/>
  <c r="M153"/>
  <c r="N153"/>
  <c r="O153"/>
  <c r="P153"/>
  <c r="Q153"/>
  <c r="R153"/>
  <c r="S153"/>
  <c r="T153"/>
  <c r="U153"/>
  <c r="V153"/>
  <c r="W153"/>
  <c r="I152"/>
  <c r="J152"/>
  <c r="K152"/>
  <c r="L152"/>
  <c r="M152"/>
  <c r="N152"/>
  <c r="O152"/>
  <c r="P152"/>
  <c r="Q152"/>
  <c r="R152"/>
  <c r="S152"/>
  <c r="T152"/>
  <c r="U152"/>
  <c r="V152"/>
  <c r="W152"/>
  <c r="I151"/>
  <c r="J151"/>
  <c r="K151"/>
  <c r="L151"/>
  <c r="M151"/>
  <c r="N151"/>
  <c r="O151"/>
  <c r="P151"/>
  <c r="Q151"/>
  <c r="R151"/>
  <c r="S151"/>
  <c r="T151"/>
  <c r="U151"/>
  <c r="V151"/>
  <c r="W151"/>
  <c r="I150"/>
  <c r="J150"/>
  <c r="K150"/>
  <c r="L150"/>
  <c r="M150"/>
  <c r="N150"/>
  <c r="O150"/>
  <c r="P150"/>
  <c r="Q150"/>
  <c r="R150"/>
  <c r="S150"/>
  <c r="T150"/>
  <c r="U150"/>
  <c r="V150"/>
  <c r="W150"/>
  <c r="I149"/>
  <c r="J149"/>
  <c r="K149"/>
  <c r="L149"/>
  <c r="M149"/>
  <c r="N149"/>
  <c r="O149"/>
  <c r="P149"/>
  <c r="Q149"/>
  <c r="R149"/>
  <c r="S149"/>
  <c r="T149"/>
  <c r="U149"/>
  <c r="V149"/>
  <c r="W149"/>
  <c r="I148"/>
  <c r="J148"/>
  <c r="K148"/>
  <c r="L148"/>
  <c r="M148"/>
  <c r="N148"/>
  <c r="O148"/>
  <c r="P148"/>
  <c r="Q148"/>
  <c r="R148"/>
  <c r="S148"/>
  <c r="T148"/>
  <c r="U148"/>
  <c r="V148"/>
  <c r="W148"/>
  <c r="I147"/>
  <c r="J147"/>
  <c r="I144"/>
  <c r="J144"/>
  <c r="K144"/>
  <c r="L144"/>
  <c r="M144"/>
  <c r="N144"/>
  <c r="O144"/>
  <c r="P144"/>
  <c r="Q144"/>
  <c r="R144"/>
  <c r="S144"/>
  <c r="T144"/>
  <c r="U144"/>
  <c r="V144"/>
  <c r="W144"/>
  <c r="I143"/>
  <c r="J143"/>
  <c r="K143"/>
  <c r="L143"/>
  <c r="M143"/>
  <c r="N143"/>
  <c r="O143"/>
  <c r="P143"/>
  <c r="Q143"/>
  <c r="R143"/>
  <c r="S143"/>
  <c r="T143"/>
  <c r="U143"/>
  <c r="V143"/>
  <c r="W143"/>
  <c r="I142"/>
  <c r="J142"/>
  <c r="K142"/>
  <c r="L142"/>
  <c r="M142"/>
  <c r="N142"/>
  <c r="O142"/>
  <c r="P142"/>
  <c r="Q142"/>
  <c r="R142"/>
  <c r="S142"/>
  <c r="T142"/>
  <c r="U142"/>
  <c r="V142"/>
  <c r="W142"/>
  <c r="I141"/>
  <c r="J141"/>
  <c r="K141"/>
  <c r="L141"/>
  <c r="M141"/>
  <c r="N141"/>
  <c r="O141"/>
  <c r="P141"/>
  <c r="Q141"/>
  <c r="R141"/>
  <c r="S141"/>
  <c r="T141"/>
  <c r="U141"/>
  <c r="V141"/>
  <c r="W141"/>
  <c r="I140"/>
  <c r="J140"/>
  <c r="K140"/>
  <c r="L140"/>
  <c r="M140"/>
  <c r="N140"/>
  <c r="O140"/>
  <c r="P140"/>
  <c r="Q140"/>
  <c r="R140"/>
  <c r="S140"/>
  <c r="T140"/>
  <c r="U140"/>
  <c r="V140"/>
  <c r="W140"/>
  <c r="I139"/>
  <c r="J139"/>
  <c r="K139"/>
  <c r="L139"/>
  <c r="M139"/>
  <c r="N139"/>
  <c r="O139"/>
  <c r="P139"/>
  <c r="Q139"/>
  <c r="R139"/>
  <c r="S139"/>
  <c r="T139"/>
  <c r="U139"/>
  <c r="V139"/>
  <c r="W139"/>
  <c r="I138"/>
  <c r="J138"/>
  <c r="K138"/>
  <c r="L138"/>
  <c r="M138"/>
  <c r="N138"/>
  <c r="O138"/>
  <c r="P138"/>
  <c r="Q138"/>
  <c r="R138"/>
  <c r="S138"/>
  <c r="T138"/>
  <c r="U138"/>
  <c r="V138"/>
  <c r="W138"/>
  <c r="I137"/>
  <c r="J137"/>
  <c r="K137"/>
  <c r="L137"/>
  <c r="M137"/>
  <c r="N137"/>
  <c r="O137"/>
  <c r="P137"/>
  <c r="Q137"/>
  <c r="R137"/>
  <c r="S137"/>
  <c r="T137"/>
  <c r="U137"/>
  <c r="V137"/>
  <c r="W137"/>
  <c r="I136"/>
  <c r="J136"/>
  <c r="K136"/>
  <c r="L136"/>
  <c r="M136"/>
  <c r="N136"/>
  <c r="O136"/>
  <c r="P136"/>
  <c r="Q136"/>
  <c r="R136"/>
  <c r="S136"/>
  <c r="T136"/>
  <c r="U136"/>
  <c r="V136"/>
  <c r="W136"/>
  <c r="I135"/>
  <c r="J135"/>
  <c r="K135"/>
  <c r="L135"/>
  <c r="M135"/>
  <c r="N135"/>
  <c r="O135"/>
  <c r="P135"/>
  <c r="Q135"/>
  <c r="R135"/>
  <c r="S135"/>
  <c r="T135"/>
  <c r="U135"/>
  <c r="V135"/>
  <c r="W135"/>
  <c r="I134"/>
  <c r="J134"/>
  <c r="K134"/>
  <c r="L134"/>
  <c r="M134"/>
  <c r="N134"/>
  <c r="O134"/>
  <c r="P134"/>
  <c r="Q134"/>
  <c r="R134"/>
  <c r="S134"/>
  <c r="T134"/>
  <c r="U134"/>
  <c r="V134"/>
  <c r="W134"/>
  <c r="I133"/>
  <c r="J133"/>
  <c r="K133"/>
  <c r="L133"/>
  <c r="M133"/>
  <c r="N133"/>
  <c r="O133"/>
  <c r="P133"/>
  <c r="Q133"/>
  <c r="R133"/>
  <c r="S133"/>
  <c r="T133"/>
  <c r="U133"/>
  <c r="V133"/>
  <c r="W133"/>
  <c r="I132"/>
  <c r="J132"/>
  <c r="I131"/>
  <c r="J131"/>
  <c r="K131"/>
  <c r="I129"/>
  <c r="J129"/>
  <c r="K129"/>
  <c r="L129"/>
  <c r="M129"/>
  <c r="N129"/>
  <c r="O129"/>
  <c r="P129"/>
  <c r="Q129"/>
  <c r="R129"/>
  <c r="S129"/>
  <c r="T129"/>
  <c r="U129"/>
  <c r="V129"/>
  <c r="W129"/>
  <c r="I128"/>
  <c r="J128"/>
  <c r="K128"/>
  <c r="L128"/>
  <c r="M128"/>
  <c r="N128"/>
  <c r="O128"/>
  <c r="P128"/>
  <c r="Q128"/>
  <c r="R128"/>
  <c r="S128"/>
  <c r="T128"/>
  <c r="U128"/>
  <c r="V128"/>
  <c r="W128"/>
  <c r="I127"/>
  <c r="J127"/>
  <c r="K127"/>
  <c r="L127"/>
  <c r="M127"/>
  <c r="N127"/>
  <c r="O127"/>
  <c r="P127"/>
  <c r="Q127"/>
  <c r="R127"/>
  <c r="S127"/>
  <c r="T127"/>
  <c r="U127"/>
  <c r="V127"/>
  <c r="W127"/>
  <c r="I126"/>
  <c r="J126"/>
  <c r="K126"/>
  <c r="L126"/>
  <c r="M126"/>
  <c r="N126"/>
  <c r="O126"/>
  <c r="P126"/>
  <c r="Q126"/>
  <c r="R126"/>
  <c r="S126"/>
  <c r="T126"/>
  <c r="U126"/>
  <c r="V126"/>
  <c r="W126"/>
  <c r="I125"/>
  <c r="J125"/>
  <c r="K125"/>
  <c r="L125"/>
  <c r="M125"/>
  <c r="N125"/>
  <c r="O125"/>
  <c r="P125"/>
  <c r="Q125"/>
  <c r="R125"/>
  <c r="S125"/>
  <c r="T125"/>
  <c r="U125"/>
  <c r="V125"/>
  <c r="W125"/>
  <c r="I122"/>
  <c r="J122"/>
  <c r="K122"/>
  <c r="L122"/>
  <c r="M122"/>
  <c r="N122"/>
  <c r="O122"/>
  <c r="P122"/>
  <c r="Q122"/>
  <c r="R122"/>
  <c r="S122"/>
  <c r="T122"/>
  <c r="U122"/>
  <c r="V122"/>
  <c r="W122"/>
  <c r="I121"/>
  <c r="J121"/>
  <c r="K121"/>
  <c r="L121"/>
  <c r="M121"/>
  <c r="N121"/>
  <c r="O121"/>
  <c r="P121"/>
  <c r="Q121"/>
  <c r="R121"/>
  <c r="S121"/>
  <c r="T121"/>
  <c r="U121"/>
  <c r="V121"/>
  <c r="W121"/>
  <c r="I120"/>
  <c r="J120"/>
  <c r="K120"/>
  <c r="L120"/>
  <c r="M120"/>
  <c r="N120"/>
  <c r="O120"/>
  <c r="P120"/>
  <c r="Q120"/>
  <c r="R120"/>
  <c r="S120"/>
  <c r="T120"/>
  <c r="U120"/>
  <c r="V120"/>
  <c r="W120"/>
  <c r="I119"/>
  <c r="J119"/>
  <c r="K119"/>
  <c r="L119"/>
  <c r="M119"/>
  <c r="N119"/>
  <c r="O119"/>
  <c r="P119"/>
  <c r="Q119"/>
  <c r="R119"/>
  <c r="S119"/>
  <c r="T119"/>
  <c r="U119"/>
  <c r="V119"/>
  <c r="W119"/>
  <c r="I118"/>
  <c r="J118"/>
  <c r="K118"/>
  <c r="L118"/>
  <c r="M118"/>
  <c r="N118"/>
  <c r="O118"/>
  <c r="P118"/>
  <c r="Q118"/>
  <c r="R118"/>
  <c r="S118"/>
  <c r="T118"/>
  <c r="U118"/>
  <c r="V118"/>
  <c r="W118"/>
  <c r="I117"/>
  <c r="J117"/>
  <c r="K117"/>
  <c r="L117"/>
  <c r="M117"/>
  <c r="N117"/>
  <c r="O117"/>
  <c r="P117"/>
  <c r="Q117"/>
  <c r="R117"/>
  <c r="S117"/>
  <c r="T117"/>
  <c r="U117"/>
  <c r="V117"/>
  <c r="W117"/>
  <c r="I116"/>
  <c r="J116"/>
  <c r="K116"/>
  <c r="L116"/>
  <c r="M116"/>
  <c r="N116"/>
  <c r="O116"/>
  <c r="P116"/>
  <c r="Q116"/>
  <c r="R116"/>
  <c r="S116"/>
  <c r="T116"/>
  <c r="U116"/>
  <c r="V116"/>
  <c r="W116"/>
  <c r="I115"/>
  <c r="J115"/>
  <c r="K115"/>
  <c r="L115"/>
  <c r="M115"/>
  <c r="N115"/>
  <c r="O115"/>
  <c r="P115"/>
  <c r="Q115"/>
  <c r="R115"/>
  <c r="S115"/>
  <c r="T115"/>
  <c r="U115"/>
  <c r="V115"/>
  <c r="W115"/>
  <c r="I114"/>
  <c r="J114"/>
  <c r="K114"/>
  <c r="L114"/>
  <c r="M114"/>
  <c r="N114"/>
  <c r="O114"/>
  <c r="P114"/>
  <c r="Q114"/>
  <c r="R114"/>
  <c r="S114"/>
  <c r="T114"/>
  <c r="U114"/>
  <c r="V114"/>
  <c r="W114"/>
  <c r="I113"/>
  <c r="J113"/>
  <c r="K113"/>
  <c r="L113"/>
  <c r="M113"/>
  <c r="N113"/>
  <c r="O113"/>
  <c r="P113"/>
  <c r="Q113"/>
  <c r="R113"/>
  <c r="S113"/>
  <c r="T113"/>
  <c r="U113"/>
  <c r="V113"/>
  <c r="W113"/>
  <c r="I112"/>
  <c r="J112"/>
  <c r="K112"/>
  <c r="L112"/>
  <c r="M112"/>
  <c r="N112"/>
  <c r="O112"/>
  <c r="P112"/>
  <c r="Q112"/>
  <c r="R112"/>
  <c r="S112"/>
  <c r="T112"/>
  <c r="U112"/>
  <c r="V112"/>
  <c r="W112"/>
  <c r="I96"/>
  <c r="I95"/>
  <c r="I70"/>
  <c r="I69"/>
  <c r="I68"/>
  <c r="J68"/>
  <c r="K68"/>
  <c r="L68"/>
  <c r="M68"/>
  <c r="N68"/>
  <c r="O68"/>
  <c r="P68"/>
  <c r="Q68"/>
  <c r="R68"/>
  <c r="S68"/>
  <c r="T68"/>
  <c r="U68"/>
  <c r="V68"/>
  <c r="W68"/>
  <c r="I67"/>
  <c r="J67"/>
  <c r="K67"/>
  <c r="L67"/>
  <c r="M67"/>
  <c r="N67"/>
  <c r="O67"/>
  <c r="P67"/>
  <c r="Q67"/>
  <c r="R67"/>
  <c r="S67"/>
  <c r="T67"/>
  <c r="U67"/>
  <c r="V67"/>
  <c r="W67"/>
  <c r="I66"/>
  <c r="J66"/>
  <c r="K66"/>
  <c r="L66"/>
  <c r="M66"/>
  <c r="N66"/>
  <c r="O66"/>
  <c r="P66"/>
  <c r="Q66"/>
  <c r="R66"/>
  <c r="S66"/>
  <c r="T66"/>
  <c r="U66"/>
  <c r="V66"/>
  <c r="W66"/>
  <c r="I65"/>
  <c r="J65"/>
  <c r="I63"/>
  <c r="I62"/>
  <c r="J62"/>
  <c r="K62"/>
  <c r="L62"/>
  <c r="M62"/>
  <c r="N62"/>
  <c r="O62"/>
  <c r="P62"/>
  <c r="Q62"/>
  <c r="R62"/>
  <c r="S62"/>
  <c r="T62"/>
  <c r="U62"/>
  <c r="V62"/>
  <c r="W62"/>
  <c r="I61"/>
  <c r="J61"/>
  <c r="K61"/>
  <c r="L61"/>
  <c r="M61"/>
  <c r="N61"/>
  <c r="O61"/>
  <c r="P61"/>
  <c r="Q61"/>
  <c r="R61"/>
  <c r="S61"/>
  <c r="T61"/>
  <c r="U61"/>
  <c r="V61"/>
  <c r="W61"/>
  <c r="I60"/>
  <c r="J60"/>
  <c r="K60"/>
  <c r="L60"/>
  <c r="M60"/>
  <c r="N60"/>
  <c r="O60"/>
  <c r="P60"/>
  <c r="Q60"/>
  <c r="R60"/>
  <c r="S60"/>
  <c r="T60"/>
  <c r="U60"/>
  <c r="V60"/>
  <c r="W60"/>
  <c r="I59"/>
  <c r="J59"/>
  <c r="K59"/>
  <c r="L59"/>
  <c r="M59"/>
  <c r="N59"/>
  <c r="O59"/>
  <c r="P59"/>
  <c r="Q59"/>
  <c r="R59"/>
  <c r="S59"/>
  <c r="T59"/>
  <c r="U59"/>
  <c r="V59"/>
  <c r="W59"/>
  <c r="I58"/>
  <c r="T54"/>
  <c r="S54"/>
  <c r="R54"/>
  <c r="Q54"/>
  <c r="T53"/>
  <c r="AG76" i="4"/>
  <c r="S53" i="10"/>
  <c r="AF76" i="4"/>
  <c r="R53" i="10"/>
  <c r="AE76" i="4"/>
  <c r="Q53" i="10"/>
  <c r="AD76" i="4"/>
  <c r="T52" i="10"/>
  <c r="S49" i="3" s="1"/>
  <c r="S52" i="10"/>
  <c r="R49" i="3"/>
  <c r="R52" i="10"/>
  <c r="Q49" i="3"/>
  <c r="Q52" i="10"/>
  <c r="P49" i="3"/>
  <c r="J49" i="10"/>
  <c r="K49"/>
  <c r="M49"/>
  <c r="N49"/>
  <c r="O49"/>
  <c r="P49"/>
  <c r="I17"/>
  <c r="J36" i="9"/>
  <c r="K36"/>
  <c r="T9"/>
  <c r="S9"/>
  <c r="R9"/>
  <c r="Q9"/>
  <c r="J28"/>
  <c r="J29"/>
  <c r="I47"/>
  <c r="H26" i="3"/>
  <c r="I52" i="9"/>
  <c r="H27" i="3"/>
  <c r="I59" i="9"/>
  <c r="H28" i="3"/>
  <c r="I66" i="9"/>
  <c r="H29" i="3"/>
  <c r="I70" i="9"/>
  <c r="H30" i="3"/>
  <c r="I45" i="9"/>
  <c r="I43"/>
  <c r="H24" i="3"/>
  <c r="I74" i="9"/>
  <c r="H22" i="3"/>
  <c r="I38" i="9"/>
  <c r="I40"/>
  <c r="I41"/>
  <c r="I39"/>
  <c r="H21" i="3"/>
  <c r="H20" s="1"/>
  <c r="H14"/>
  <c r="H15"/>
  <c r="H16"/>
  <c r="H17"/>
  <c r="H18"/>
  <c r="I31" i="9"/>
  <c r="I32"/>
  <c r="I27"/>
  <c r="H19" i="3"/>
  <c r="H13" s="1"/>
  <c r="I64" i="10"/>
  <c r="I57"/>
  <c r="I81" i="9"/>
  <c r="I83"/>
  <c r="I84"/>
  <c r="I82"/>
  <c r="H53" i="3"/>
  <c r="I85" i="9"/>
  <c r="I86"/>
  <c r="I87"/>
  <c r="I88"/>
  <c r="I89"/>
  <c r="I90"/>
  <c r="I94"/>
  <c r="I93"/>
  <c r="I92"/>
  <c r="I91"/>
  <c r="I95"/>
  <c r="I96"/>
  <c r="I97"/>
  <c r="I98"/>
  <c r="I99"/>
  <c r="I100"/>
  <c r="I101"/>
  <c r="I102"/>
  <c r="H70" i="3"/>
  <c r="I104" i="9"/>
  <c r="I106"/>
  <c r="I107"/>
  <c r="I105"/>
  <c r="I108"/>
  <c r="I109"/>
  <c r="I110"/>
  <c r="I111"/>
  <c r="I112"/>
  <c r="G115"/>
  <c r="H115"/>
  <c r="I115"/>
  <c r="G117"/>
  <c r="H117"/>
  <c r="I117"/>
  <c r="G118"/>
  <c r="H118"/>
  <c r="I118"/>
  <c r="J118"/>
  <c r="K118"/>
  <c r="L118"/>
  <c r="M118"/>
  <c r="G119"/>
  <c r="H119"/>
  <c r="I119"/>
  <c r="J119"/>
  <c r="K119"/>
  <c r="L119"/>
  <c r="M119"/>
  <c r="G120"/>
  <c r="H120"/>
  <c r="I120"/>
  <c r="G121"/>
  <c r="H121"/>
  <c r="I121"/>
  <c r="J121"/>
  <c r="K121"/>
  <c r="L121"/>
  <c r="M121"/>
  <c r="I130" i="10"/>
  <c r="I184"/>
  <c r="H52" i="3"/>
  <c r="H55"/>
  <c r="I94" i="10"/>
  <c r="I97"/>
  <c r="I93"/>
  <c r="I166"/>
  <c r="I146"/>
  <c r="I160"/>
  <c r="I145"/>
  <c r="I18"/>
  <c r="I21"/>
  <c r="I23"/>
  <c r="I20"/>
  <c r="I16"/>
  <c r="I26"/>
  <c r="H35" i="3"/>
  <c r="H37"/>
  <c r="H38"/>
  <c r="H39"/>
  <c r="H40"/>
  <c r="I187" i="10"/>
  <c r="H41" i="3"/>
  <c r="H42"/>
  <c r="H43"/>
  <c r="H44"/>
  <c r="I195" i="10"/>
  <c r="H45" i="3"/>
  <c r="H36"/>
  <c r="I53" i="10"/>
  <c r="I54"/>
  <c r="I52"/>
  <c r="H49" i="3"/>
  <c r="H68"/>
  <c r="I185" i="10"/>
  <c r="H47" i="3"/>
  <c r="H46" s="1"/>
  <c r="J14" i="9"/>
  <c r="K14"/>
  <c r="L14"/>
  <c r="J16"/>
  <c r="K16"/>
  <c r="L16"/>
  <c r="J24"/>
  <c r="K24"/>
  <c r="L24"/>
  <c r="J17"/>
  <c r="K17"/>
  <c r="L17"/>
  <c r="K28"/>
  <c r="L28"/>
  <c r="B24" i="46"/>
  <c r="K29" i="9"/>
  <c r="L29"/>
  <c r="J19"/>
  <c r="K19"/>
  <c r="L19"/>
  <c r="J20"/>
  <c r="K20"/>
  <c r="L20"/>
  <c r="J21"/>
  <c r="K21"/>
  <c r="L21"/>
  <c r="J22"/>
  <c r="K22"/>
  <c r="L22"/>
  <c r="J23"/>
  <c r="K23"/>
  <c r="L23"/>
  <c r="J37"/>
  <c r="K37"/>
  <c r="L37"/>
  <c r="J38"/>
  <c r="K38"/>
  <c r="L38"/>
  <c r="M38"/>
  <c r="J40"/>
  <c r="K40"/>
  <c r="L40"/>
  <c r="M40"/>
  <c r="J41"/>
  <c r="K41"/>
  <c r="L41"/>
  <c r="M41"/>
  <c r="M74"/>
  <c r="L22" i="3"/>
  <c r="K44" i="9"/>
  <c r="L44"/>
  <c r="J45"/>
  <c r="K45"/>
  <c r="L45"/>
  <c r="M45"/>
  <c r="N45"/>
  <c r="O45"/>
  <c r="P45"/>
  <c r="Q45"/>
  <c r="R45"/>
  <c r="S45"/>
  <c r="T45"/>
  <c r="U45"/>
  <c r="V45"/>
  <c r="W45"/>
  <c r="K49"/>
  <c r="L49"/>
  <c r="B37" i="46"/>
  <c r="J50" i="9"/>
  <c r="J58" i="10"/>
  <c r="J57" s="1"/>
  <c r="K63"/>
  <c r="L51" i="9"/>
  <c r="B39" i="46"/>
  <c r="L63" i="10"/>
  <c r="K53" i="9"/>
  <c r="L53"/>
  <c r="B41" i="46"/>
  <c r="K54" i="9"/>
  <c r="L54"/>
  <c r="L55"/>
  <c r="B43" i="46"/>
  <c r="K70" i="10"/>
  <c r="L70"/>
  <c r="K60" i="9"/>
  <c r="K94" i="10"/>
  <c r="L60" i="9"/>
  <c r="B46" i="46"/>
  <c r="M60" i="9"/>
  <c r="M94" i="10"/>
  <c r="K61" i="9"/>
  <c r="K96" i="10"/>
  <c r="L61" i="9"/>
  <c r="B47" i="46"/>
  <c r="L96" i="10"/>
  <c r="M61" i="9"/>
  <c r="M96" i="10"/>
  <c r="K62" i="9"/>
  <c r="K95" i="10"/>
  <c r="L62" i="9"/>
  <c r="B48" i="46"/>
  <c r="L95" i="10"/>
  <c r="M62" i="9"/>
  <c r="M95" i="10"/>
  <c r="K97"/>
  <c r="M70" i="9"/>
  <c r="L30" i="3"/>
  <c r="K80" i="9"/>
  <c r="L80"/>
  <c r="B51" i="46"/>
  <c r="J81" i="9"/>
  <c r="K81"/>
  <c r="L81"/>
  <c r="M81"/>
  <c r="J83"/>
  <c r="K83"/>
  <c r="L83"/>
  <c r="M83"/>
  <c r="J84"/>
  <c r="K84"/>
  <c r="L84"/>
  <c r="M84"/>
  <c r="J85"/>
  <c r="K85"/>
  <c r="L85"/>
  <c r="M85"/>
  <c r="N85"/>
  <c r="J86"/>
  <c r="K86"/>
  <c r="L86"/>
  <c r="M86"/>
  <c r="J87"/>
  <c r="K87"/>
  <c r="L87"/>
  <c r="M87"/>
  <c r="N87"/>
  <c r="J88"/>
  <c r="K88"/>
  <c r="L88"/>
  <c r="M88"/>
  <c r="J89"/>
  <c r="K89"/>
  <c r="L89"/>
  <c r="M89"/>
  <c r="N89"/>
  <c r="J90"/>
  <c r="K90"/>
  <c r="L90"/>
  <c r="M90"/>
  <c r="J114"/>
  <c r="K114"/>
  <c r="L114"/>
  <c r="M114"/>
  <c r="L55" i="3"/>
  <c r="J104" i="9"/>
  <c r="K104"/>
  <c r="J106"/>
  <c r="K106"/>
  <c r="J107"/>
  <c r="K107"/>
  <c r="L107"/>
  <c r="M107"/>
  <c r="N107"/>
  <c r="O107"/>
  <c r="P107"/>
  <c r="J108"/>
  <c r="K108"/>
  <c r="L108"/>
  <c r="M108"/>
  <c r="N108"/>
  <c r="O108"/>
  <c r="P108"/>
  <c r="J109"/>
  <c r="K109"/>
  <c r="L109"/>
  <c r="M109"/>
  <c r="N109"/>
  <c r="O109"/>
  <c r="P109"/>
  <c r="J110"/>
  <c r="K110"/>
  <c r="L110"/>
  <c r="M110"/>
  <c r="N110"/>
  <c r="O110"/>
  <c r="P110"/>
  <c r="J111"/>
  <c r="K111"/>
  <c r="L111"/>
  <c r="M111"/>
  <c r="N111"/>
  <c r="O111"/>
  <c r="P111"/>
  <c r="J112"/>
  <c r="K112"/>
  <c r="L112"/>
  <c r="M112"/>
  <c r="N112"/>
  <c r="O112"/>
  <c r="P112"/>
  <c r="J113"/>
  <c r="K113"/>
  <c r="L113"/>
  <c r="M113"/>
  <c r="N113"/>
  <c r="O113"/>
  <c r="P113"/>
  <c r="L43" i="3"/>
  <c r="L44"/>
  <c r="M195" i="10"/>
  <c r="M53"/>
  <c r="M54"/>
  <c r="M52"/>
  <c r="L49" i="3" s="1"/>
  <c r="L47"/>
  <c r="L46"/>
  <c r="M72"/>
  <c r="N72"/>
  <c r="O72"/>
  <c r="I16"/>
  <c r="J16"/>
  <c r="J72" i="10"/>
  <c r="J86"/>
  <c r="K72"/>
  <c r="K86"/>
  <c r="L72"/>
  <c r="L86"/>
  <c r="I86"/>
  <c r="I72"/>
  <c r="I71"/>
  <c r="I56" s="1"/>
  <c r="I183"/>
  <c r="I182"/>
  <c r="H12" i="5"/>
  <c r="I46" i="9"/>
  <c r="I42"/>
  <c r="I9"/>
  <c r="E9"/>
  <c r="G9"/>
  <c r="F9"/>
  <c r="I31" i="10"/>
  <c r="I35"/>
  <c r="I30"/>
  <c r="I29"/>
  <c r="H19" i="5"/>
  <c r="I42" i="10"/>
  <c r="I41"/>
  <c r="J47" i="9"/>
  <c r="K27"/>
  <c r="K110" i="10"/>
  <c r="J187"/>
  <c r="K187"/>
  <c r="L187"/>
  <c r="K41" i="3"/>
  <c r="L35" i="5"/>
  <c r="L33"/>
  <c r="L42" s="1"/>
  <c r="H31"/>
  <c r="H30" s="1"/>
  <c r="H25" s="1"/>
  <c r="H41" s="1"/>
  <c r="H145" i="3" s="1"/>
  <c r="I35" i="5"/>
  <c r="J35"/>
  <c r="K35"/>
  <c r="N35"/>
  <c r="O35"/>
  <c r="H35"/>
  <c r="I12"/>
  <c r="J52" i="9"/>
  <c r="I48"/>
  <c r="J48"/>
  <c r="K48"/>
  <c r="L48"/>
  <c r="M48"/>
  <c r="N48"/>
  <c r="O48"/>
  <c r="P48"/>
  <c r="Q48"/>
  <c r="R48"/>
  <c r="S48"/>
  <c r="T48"/>
  <c r="U48"/>
  <c r="V48"/>
  <c r="W48"/>
  <c r="J59"/>
  <c r="J46"/>
  <c r="J42"/>
  <c r="I13" i="5"/>
  <c r="J43" i="9"/>
  <c r="J66"/>
  <c r="J70"/>
  <c r="K52"/>
  <c r="K59"/>
  <c r="K43"/>
  <c r="K66"/>
  <c r="K70"/>
  <c r="L59"/>
  <c r="L66"/>
  <c r="L70"/>
  <c r="N70" i="10"/>
  <c r="N60" i="9"/>
  <c r="N94" i="10"/>
  <c r="N61" i="9"/>
  <c r="N96" i="10"/>
  <c r="N62" i="9"/>
  <c r="N95" i="10"/>
  <c r="N70" i="9"/>
  <c r="O70" i="10"/>
  <c r="O70" i="9"/>
  <c r="P70" i="10"/>
  <c r="P70" i="9"/>
  <c r="O190" i="1"/>
  <c r="M112" s="1"/>
  <c r="M114"/>
  <c r="M117"/>
  <c r="M118"/>
  <c r="M119"/>
  <c r="M120"/>
  <c r="M121"/>
  <c r="M122"/>
  <c r="J82" i="9"/>
  <c r="J94"/>
  <c r="J95"/>
  <c r="K95"/>
  <c r="J96"/>
  <c r="J97"/>
  <c r="K97"/>
  <c r="L97"/>
  <c r="M97"/>
  <c r="N97"/>
  <c r="O97"/>
  <c r="P97"/>
  <c r="J98"/>
  <c r="J99"/>
  <c r="K99"/>
  <c r="L99"/>
  <c r="M99"/>
  <c r="N99"/>
  <c r="O99"/>
  <c r="P99"/>
  <c r="J100"/>
  <c r="J93"/>
  <c r="J101"/>
  <c r="J92"/>
  <c r="J102"/>
  <c r="J91"/>
  <c r="K82"/>
  <c r="K94"/>
  <c r="K96"/>
  <c r="K98"/>
  <c r="K100"/>
  <c r="K101"/>
  <c r="K102"/>
  <c r="L82"/>
  <c r="L94"/>
  <c r="L96"/>
  <c r="L98"/>
  <c r="L100"/>
  <c r="L101"/>
  <c r="L102"/>
  <c r="M94"/>
  <c r="M96"/>
  <c r="N96"/>
  <c r="O96"/>
  <c r="P96"/>
  <c r="M98"/>
  <c r="M100"/>
  <c r="N100"/>
  <c r="O100"/>
  <c r="P100"/>
  <c r="M101"/>
  <c r="M102"/>
  <c r="N81"/>
  <c r="N84"/>
  <c r="O84"/>
  <c r="P84"/>
  <c r="N86"/>
  <c r="N88"/>
  <c r="O88"/>
  <c r="P88"/>
  <c r="N90"/>
  <c r="N94"/>
  <c r="O94"/>
  <c r="N98"/>
  <c r="O98"/>
  <c r="P98"/>
  <c r="N101"/>
  <c r="O101"/>
  <c r="P101"/>
  <c r="N102"/>
  <c r="O102"/>
  <c r="N114"/>
  <c r="O114"/>
  <c r="N118"/>
  <c r="N119"/>
  <c r="N121"/>
  <c r="O81"/>
  <c r="O85"/>
  <c r="O86"/>
  <c r="O87"/>
  <c r="O89"/>
  <c r="O90"/>
  <c r="O118"/>
  <c r="O119"/>
  <c r="O121"/>
  <c r="P81"/>
  <c r="P85"/>
  <c r="P86"/>
  <c r="P87"/>
  <c r="P89"/>
  <c r="P90"/>
  <c r="P118"/>
  <c r="P119"/>
  <c r="P121"/>
  <c r="J17" i="5"/>
  <c r="K17"/>
  <c r="I18"/>
  <c r="J18"/>
  <c r="K18"/>
  <c r="H18"/>
  <c r="H17"/>
  <c r="V73" i="4"/>
  <c r="V72"/>
  <c r="V71"/>
  <c r="V50"/>
  <c r="W11"/>
  <c r="W12"/>
  <c r="W13"/>
  <c r="W15"/>
  <c r="W16"/>
  <c r="W17"/>
  <c r="W18"/>
  <c r="W19"/>
  <c r="W20"/>
  <c r="X11"/>
  <c r="X12"/>
  <c r="X13"/>
  <c r="X15"/>
  <c r="X16"/>
  <c r="X17"/>
  <c r="X18"/>
  <c r="X19"/>
  <c r="X20"/>
  <c r="Y11"/>
  <c r="Y12"/>
  <c r="Y13"/>
  <c r="Y15"/>
  <c r="Y16"/>
  <c r="Y17"/>
  <c r="Y18"/>
  <c r="Y19"/>
  <c r="Y20"/>
  <c r="V11"/>
  <c r="V12"/>
  <c r="V13"/>
  <c r="V15"/>
  <c r="V16"/>
  <c r="V17"/>
  <c r="V18"/>
  <c r="V19"/>
  <c r="V20"/>
  <c r="V21"/>
  <c r="W30"/>
  <c r="W29" s="1"/>
  <c r="W28" s="1"/>
  <c r="W25" s="1"/>
  <c r="X30"/>
  <c r="X29" s="1"/>
  <c r="X28" s="1"/>
  <c r="X25" s="1"/>
  <c r="V30"/>
  <c r="V29" s="1"/>
  <c r="V28" s="1"/>
  <c r="V25" s="1"/>
  <c r="W50"/>
  <c r="X50"/>
  <c r="Y50"/>
  <c r="Z50"/>
  <c r="AA50"/>
  <c r="AB50"/>
  <c r="AC50"/>
  <c r="W26"/>
  <c r="X26"/>
  <c r="W27"/>
  <c r="X27"/>
  <c r="Y27"/>
  <c r="V27"/>
  <c r="V26"/>
  <c r="I41" i="3"/>
  <c r="I37"/>
  <c r="I38"/>
  <c r="I39"/>
  <c r="I36" s="1"/>
  <c r="I40"/>
  <c r="I42"/>
  <c r="I43"/>
  <c r="I44"/>
  <c r="J195" i="10"/>
  <c r="I45" i="3"/>
  <c r="I35"/>
  <c r="I47"/>
  <c r="I46" s="1"/>
  <c r="J53" i="10"/>
  <c r="J54"/>
  <c r="J52"/>
  <c r="I49" i="3" s="1"/>
  <c r="J41"/>
  <c r="J37"/>
  <c r="J38"/>
  <c r="J36" s="1"/>
  <c r="J39"/>
  <c r="J40"/>
  <c r="J42"/>
  <c r="J43"/>
  <c r="J44"/>
  <c r="K195" i="10"/>
  <c r="J45" i="3"/>
  <c r="J34"/>
  <c r="J33" s="1"/>
  <c r="J35"/>
  <c r="J47"/>
  <c r="J46" s="1"/>
  <c r="K53" i="10"/>
  <c r="K54"/>
  <c r="K52"/>
  <c r="J49" i="3" s="1"/>
  <c r="K43"/>
  <c r="K44"/>
  <c r="L195" i="10"/>
  <c r="K34" i="3"/>
  <c r="K35"/>
  <c r="L53" i="10"/>
  <c r="L54"/>
  <c r="L52" s="1"/>
  <c r="K49" i="3" s="1"/>
  <c r="M43"/>
  <c r="M44"/>
  <c r="N195" i="10"/>
  <c r="M47" i="3"/>
  <c r="M46" s="1"/>
  <c r="N53" i="10"/>
  <c r="N54"/>
  <c r="N52"/>
  <c r="M49" i="3" s="1"/>
  <c r="N43"/>
  <c r="N44"/>
  <c r="O195" i="10"/>
  <c r="O53"/>
  <c r="O54"/>
  <c r="O52" s="1"/>
  <c r="N49" i="3" s="1"/>
  <c r="N46"/>
  <c r="O42"/>
  <c r="O43"/>
  <c r="O44"/>
  <c r="P195" i="10"/>
  <c r="O45" i="3"/>
  <c r="O47"/>
  <c r="O46"/>
  <c r="P53" i="10"/>
  <c r="P54"/>
  <c r="P52" s="1"/>
  <c r="O49" i="3" s="1"/>
  <c r="I14"/>
  <c r="I15"/>
  <c r="I17"/>
  <c r="I18"/>
  <c r="J39" i="9"/>
  <c r="I21" i="3"/>
  <c r="I20" s="1"/>
  <c r="J74" i="9"/>
  <c r="I22" i="3"/>
  <c r="I24"/>
  <c r="I26"/>
  <c r="I27"/>
  <c r="I25" s="1"/>
  <c r="I28"/>
  <c r="I29"/>
  <c r="I30"/>
  <c r="I52"/>
  <c r="I53"/>
  <c r="I55"/>
  <c r="I67"/>
  <c r="I70"/>
  <c r="J14"/>
  <c r="J13" s="1"/>
  <c r="J15"/>
  <c r="J17"/>
  <c r="J18"/>
  <c r="J19"/>
  <c r="K39" i="9"/>
  <c r="J21" i="3"/>
  <c r="K74" i="9"/>
  <c r="J22" i="3"/>
  <c r="J24"/>
  <c r="J27"/>
  <c r="J28"/>
  <c r="J29"/>
  <c r="J30"/>
  <c r="J52"/>
  <c r="J53"/>
  <c r="J55"/>
  <c r="J70"/>
  <c r="J69" s="1"/>
  <c r="K14"/>
  <c r="K15"/>
  <c r="K17"/>
  <c r="L39" i="9"/>
  <c r="L74"/>
  <c r="K22" i="3"/>
  <c r="K28"/>
  <c r="K29"/>
  <c r="K30"/>
  <c r="K52"/>
  <c r="K53"/>
  <c r="K55"/>
  <c r="K70"/>
  <c r="L70"/>
  <c r="L69" s="1"/>
  <c r="N38" i="9"/>
  <c r="N40"/>
  <c r="O40"/>
  <c r="N41"/>
  <c r="N39"/>
  <c r="N74"/>
  <c r="M22" i="3"/>
  <c r="M30"/>
  <c r="M52"/>
  <c r="M55"/>
  <c r="M70"/>
  <c r="O38" i="9"/>
  <c r="O41"/>
  <c r="O74"/>
  <c r="N22" i="3"/>
  <c r="N30"/>
  <c r="N52"/>
  <c r="O18"/>
  <c r="P38" i="9"/>
  <c r="Q38"/>
  <c r="R38"/>
  <c r="S38"/>
  <c r="T38"/>
  <c r="U38"/>
  <c r="V38"/>
  <c r="W38"/>
  <c r="P41"/>
  <c r="Q41"/>
  <c r="R41"/>
  <c r="S41"/>
  <c r="T41"/>
  <c r="U41"/>
  <c r="V41"/>
  <c r="W41"/>
  <c r="P74"/>
  <c r="O22" i="3"/>
  <c r="O30"/>
  <c r="O52"/>
  <c r="H67"/>
  <c r="I69"/>
  <c r="K69"/>
  <c r="M69"/>
  <c r="I68"/>
  <c r="I66"/>
  <c r="I65" s="1"/>
  <c r="I64" s="1"/>
  <c r="J68"/>
  <c r="J66"/>
  <c r="J65" s="1"/>
  <c r="J64" s="1"/>
  <c r="K68"/>
  <c r="K66"/>
  <c r="K65" s="1"/>
  <c r="K64" s="1"/>
  <c r="L68"/>
  <c r="L66"/>
  <c r="L65" s="1"/>
  <c r="L64" s="1"/>
  <c r="M68"/>
  <c r="M66"/>
  <c r="M65" s="1"/>
  <c r="M64" s="1"/>
  <c r="N68"/>
  <c r="N66"/>
  <c r="O68"/>
  <c r="O66"/>
  <c r="H66"/>
  <c r="H69"/>
  <c r="H65" s="1"/>
  <c r="A13" i="10"/>
  <c r="A14"/>
  <c r="A17"/>
  <c r="A18"/>
  <c r="A19"/>
  <c r="A20"/>
  <c r="A21"/>
  <c r="A22"/>
  <c r="A24"/>
  <c r="A25"/>
  <c r="A26"/>
  <c r="A27"/>
  <c r="A28"/>
  <c r="A29"/>
  <c r="A30"/>
  <c r="A31"/>
  <c r="A32"/>
  <c r="A33"/>
  <c r="A34"/>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G33"/>
  <c r="G44"/>
  <c r="G43"/>
  <c r="G45"/>
  <c r="G36"/>
  <c r="G37"/>
  <c r="G38"/>
  <c r="G39"/>
  <c r="G189"/>
  <c r="G40"/>
  <c r="G46"/>
  <c r="G47"/>
  <c r="G60"/>
  <c r="G61"/>
  <c r="G62"/>
  <c r="G67"/>
  <c r="G68"/>
  <c r="G87"/>
  <c r="G91"/>
  <c r="G92"/>
  <c r="G111"/>
  <c r="G112"/>
  <c r="G113"/>
  <c r="G114"/>
  <c r="G115"/>
  <c r="G116"/>
  <c r="G117"/>
  <c r="G118"/>
  <c r="G119"/>
  <c r="G120"/>
  <c r="G121"/>
  <c r="G122"/>
  <c r="G125"/>
  <c r="G126"/>
  <c r="G127"/>
  <c r="G128"/>
  <c r="G129"/>
  <c r="G147"/>
  <c r="G148"/>
  <c r="G149"/>
  <c r="G150"/>
  <c r="G151"/>
  <c r="G152"/>
  <c r="G153"/>
  <c r="G154"/>
  <c r="G155"/>
  <c r="G156"/>
  <c r="G157"/>
  <c r="G158"/>
  <c r="G159"/>
  <c r="G161"/>
  <c r="G162"/>
  <c r="G163"/>
  <c r="G164"/>
  <c r="G165"/>
  <c r="G59"/>
  <c r="G65"/>
  <c r="G66"/>
  <c r="G70"/>
  <c r="G131"/>
  <c r="G132"/>
  <c r="G133"/>
  <c r="G134"/>
  <c r="G135"/>
  <c r="G136"/>
  <c r="G137"/>
  <c r="G138"/>
  <c r="G139"/>
  <c r="G140"/>
  <c r="G141"/>
  <c r="G142"/>
  <c r="G143"/>
  <c r="G144"/>
  <c r="G169"/>
  <c r="G172"/>
  <c r="G175"/>
  <c r="G176"/>
  <c r="G177"/>
  <c r="G178"/>
  <c r="G179"/>
  <c r="G14" i="3"/>
  <c r="G15"/>
  <c r="G13" s="1"/>
  <c r="G12" s="1"/>
  <c r="G17"/>
  <c r="G18"/>
  <c r="G19"/>
  <c r="G21"/>
  <c r="G22"/>
  <c r="G20"/>
  <c r="G24"/>
  <c r="G26"/>
  <c r="G27"/>
  <c r="G28"/>
  <c r="G29"/>
  <c r="G25"/>
  <c r="G30"/>
  <c r="G23"/>
  <c r="G52"/>
  <c r="G53"/>
  <c r="G51" s="1"/>
  <c r="G62" s="1"/>
  <c r="G54"/>
  <c r="G55"/>
  <c r="H116" i="9"/>
  <c r="G56" i="3"/>
  <c r="G57"/>
  <c r="G58"/>
  <c r="G34"/>
  <c r="G35"/>
  <c r="G33" s="1"/>
  <c r="G37"/>
  <c r="G36" s="1"/>
  <c r="G38"/>
  <c r="G39"/>
  <c r="G40"/>
  <c r="G41"/>
  <c r="G42"/>
  <c r="G43"/>
  <c r="G44"/>
  <c r="G45"/>
  <c r="G48"/>
  <c r="G49"/>
  <c r="G60"/>
  <c r="G61"/>
  <c r="G59"/>
  <c r="G47"/>
  <c r="G46"/>
  <c r="G68"/>
  <c r="G70"/>
  <c r="J9" i="9"/>
  <c r="J10" i="10"/>
  <c r="F10"/>
  <c r="G10"/>
  <c r="B13"/>
  <c r="B14"/>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4"/>
  <c r="B65"/>
  <c r="B66"/>
  <c r="B67"/>
  <c r="B68"/>
  <c r="B69"/>
  <c r="B71"/>
  <c r="B72"/>
  <c r="B73"/>
  <c r="B74"/>
  <c r="B75"/>
  <c r="B76"/>
  <c r="B77"/>
  <c r="B78"/>
  <c r="B79"/>
  <c r="B80"/>
  <c r="B81"/>
  <c r="B82"/>
  <c r="B83"/>
  <c r="B84"/>
  <c r="B85"/>
  <c r="B86"/>
  <c r="B87"/>
  <c r="B88"/>
  <c r="B89"/>
  <c r="B90"/>
  <c r="B91"/>
  <c r="B92"/>
  <c r="B93"/>
  <c r="B98"/>
  <c r="B99"/>
  <c r="B100"/>
  <c r="B101"/>
  <c r="B102"/>
  <c r="B103"/>
  <c r="B104"/>
  <c r="B105"/>
  <c r="B106"/>
  <c r="B107"/>
  <c r="B112"/>
  <c r="B113"/>
  <c r="B114"/>
  <c r="B115"/>
  <c r="B116"/>
  <c r="B117"/>
  <c r="B118"/>
  <c r="B119"/>
  <c r="B120"/>
  <c r="B121"/>
  <c r="B122"/>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8"/>
  <c r="B169"/>
  <c r="B170"/>
  <c r="B171"/>
  <c r="B172"/>
  <c r="B173"/>
  <c r="B174"/>
  <c r="B175"/>
  <c r="B176"/>
  <c r="B177"/>
  <c r="B178"/>
  <c r="B179"/>
  <c r="B180"/>
  <c r="B181"/>
  <c r="B182"/>
  <c r="B183"/>
  <c r="B184"/>
  <c r="B185"/>
  <c r="E10"/>
  <c r="U71" i="4"/>
  <c r="G17" i="5" s="1"/>
  <c r="U72" i="4"/>
  <c r="G18" i="5" s="1"/>
  <c r="U73" i="4"/>
  <c r="G19" i="5" s="1"/>
  <c r="C1" i="6"/>
  <c r="D1" s="1"/>
  <c r="E1" s="1"/>
  <c r="F1" s="1"/>
  <c r="G1" s="1"/>
  <c r="H1" s="1"/>
  <c r="I1" s="1"/>
  <c r="J1" s="1"/>
  <c r="G11" i="5"/>
  <c r="G12"/>
  <c r="G13"/>
  <c r="G15"/>
  <c r="G33"/>
  <c r="G143" i="3"/>
  <c r="G144"/>
  <c r="G30" i="5"/>
  <c r="G25"/>
  <c r="G41"/>
  <c r="G145" i="3"/>
  <c r="H33" i="5"/>
  <c r="H143" i="3"/>
  <c r="H144"/>
  <c r="I33" i="5"/>
  <c r="I143" i="3"/>
  <c r="I144"/>
  <c r="J145"/>
  <c r="J33" i="5"/>
  <c r="J143" i="3"/>
  <c r="J144"/>
  <c r="K33" i="5"/>
  <c r="K143" i="3" s="1"/>
  <c r="K144"/>
  <c r="C9" i="9"/>
  <c r="P8" i="4"/>
  <c r="D9" i="9"/>
  <c r="D10" i="10" s="1"/>
  <c r="Q8" i="4"/>
  <c r="R8"/>
  <c r="S8"/>
  <c r="T8"/>
  <c r="H9" i="9"/>
  <c r="U8" i="4" s="1"/>
  <c r="V8"/>
  <c r="W8"/>
  <c r="K9" i="9"/>
  <c r="K10" i="10" s="1"/>
  <c r="X8" i="4"/>
  <c r="L9" i="9"/>
  <c r="L10" i="10"/>
  <c r="Y8" i="4"/>
  <c r="M9" i="9"/>
  <c r="Z8" i="4" s="1"/>
  <c r="N9" i="9"/>
  <c r="AA8" i="4" s="1"/>
  <c r="O9" i="9"/>
  <c r="AB8" i="4" s="1"/>
  <c r="P9" i="9"/>
  <c r="AC8" i="4" s="1"/>
  <c r="C51" i="28"/>
  <c r="C50"/>
  <c r="C49"/>
  <c r="C24"/>
  <c r="C23"/>
  <c r="H3"/>
  <c r="H4"/>
  <c r="H5"/>
  <c r="H6"/>
  <c r="G30"/>
  <c r="G31"/>
  <c r="G32"/>
  <c r="G33"/>
  <c r="C15" i="6"/>
  <c r="C16"/>
  <c r="C14"/>
  <c r="C181" i="10"/>
  <c r="C17" i="6"/>
  <c r="C18"/>
  <c r="C19"/>
  <c r="C20"/>
  <c r="C21"/>
  <c r="C22"/>
  <c r="D15"/>
  <c r="D16"/>
  <c r="D17"/>
  <c r="D18"/>
  <c r="D19"/>
  <c r="D20"/>
  <c r="D21"/>
  <c r="D22"/>
  <c r="D14"/>
  <c r="E15"/>
  <c r="E16"/>
  <c r="E14"/>
  <c r="E181" i="10"/>
  <c r="E17" i="6"/>
  <c r="E18"/>
  <c r="E19"/>
  <c r="E20"/>
  <c r="E21"/>
  <c r="E22"/>
  <c r="F15"/>
  <c r="F16"/>
  <c r="F17"/>
  <c r="F18"/>
  <c r="F19"/>
  <c r="F20"/>
  <c r="F21"/>
  <c r="F22"/>
  <c r="F14"/>
  <c r="G15"/>
  <c r="G16"/>
  <c r="G14"/>
  <c r="G181" i="10"/>
  <c r="G17" i="6"/>
  <c r="G18"/>
  <c r="G19"/>
  <c r="G20"/>
  <c r="G21"/>
  <c r="G22"/>
  <c r="H15"/>
  <c r="H16"/>
  <c r="H17"/>
  <c r="H18"/>
  <c r="H19"/>
  <c r="H20"/>
  <c r="H21"/>
  <c r="H22"/>
  <c r="H14"/>
  <c r="I15"/>
  <c r="I16"/>
  <c r="I14"/>
  <c r="I181" i="10"/>
  <c r="H61" i="3"/>
  <c r="I17" i="6"/>
  <c r="I18"/>
  <c r="I19"/>
  <c r="I20"/>
  <c r="I21"/>
  <c r="I22"/>
  <c r="J15"/>
  <c r="J16"/>
  <c r="J17"/>
  <c r="J18"/>
  <c r="J19"/>
  <c r="J20"/>
  <c r="J21"/>
  <c r="J22"/>
  <c r="J14"/>
  <c r="J181" i="10"/>
  <c r="I61" i="3" s="1"/>
  <c r="K15" i="6"/>
  <c r="K16"/>
  <c r="K14"/>
  <c r="K181" i="10"/>
  <c r="J61" i="3"/>
  <c r="K17" i="6"/>
  <c r="K18"/>
  <c r="K19"/>
  <c r="K20"/>
  <c r="K21"/>
  <c r="K22"/>
  <c r="L15"/>
  <c r="L16"/>
  <c r="L17"/>
  <c r="L18"/>
  <c r="L19"/>
  <c r="L20"/>
  <c r="L21"/>
  <c r="L22"/>
  <c r="L14"/>
  <c r="L181" i="10"/>
  <c r="K61" i="3" s="1"/>
  <c r="M15" i="6"/>
  <c r="M16"/>
  <c r="M14"/>
  <c r="M181" i="10"/>
  <c r="L61" i="3"/>
  <c r="M17" i="6"/>
  <c r="M18"/>
  <c r="M19"/>
  <c r="M20"/>
  <c r="M21"/>
  <c r="M22"/>
  <c r="N15"/>
  <c r="N16"/>
  <c r="N17"/>
  <c r="N18"/>
  <c r="N19"/>
  <c r="N20"/>
  <c r="N21"/>
  <c r="N22"/>
  <c r="N14"/>
  <c r="N181" i="10"/>
  <c r="M61" i="3" s="1"/>
  <c r="O15" i="6"/>
  <c r="O16"/>
  <c r="O14"/>
  <c r="O181" i="10"/>
  <c r="N61" i="3"/>
  <c r="O17" i="6"/>
  <c r="O18"/>
  <c r="O19"/>
  <c r="O20"/>
  <c r="O21"/>
  <c r="O22"/>
  <c r="P15"/>
  <c r="P16"/>
  <c r="P17"/>
  <c r="P18"/>
  <c r="P19"/>
  <c r="P20"/>
  <c r="P21"/>
  <c r="P22"/>
  <c r="P14"/>
  <c r="P181" i="10"/>
  <c r="O61" i="3" s="1"/>
  <c r="G72" i="9"/>
  <c r="G71"/>
  <c r="G73"/>
  <c r="AC48" i="4"/>
  <c r="G48" i="9"/>
  <c r="G49"/>
  <c r="G47"/>
  <c r="AC32" i="4"/>
  <c r="G53" i="9"/>
  <c r="F55"/>
  <c r="G55"/>
  <c r="G56"/>
  <c r="G57"/>
  <c r="G58"/>
  <c r="AC35" i="4"/>
  <c r="G59" i="9"/>
  <c r="G64"/>
  <c r="G65"/>
  <c r="AC31" i="4"/>
  <c r="G44" i="9"/>
  <c r="G45"/>
  <c r="G67"/>
  <c r="G68"/>
  <c r="G69"/>
  <c r="AC44" i="4"/>
  <c r="G36" i="9"/>
  <c r="G37"/>
  <c r="G38"/>
  <c r="G40"/>
  <c r="G41"/>
  <c r="G78"/>
  <c r="G75"/>
  <c r="G76"/>
  <c r="AC52" i="4"/>
  <c r="G14" i="9"/>
  <c r="G16"/>
  <c r="G17"/>
  <c r="G18"/>
  <c r="G19"/>
  <c r="G20"/>
  <c r="G21"/>
  <c r="G22"/>
  <c r="G23"/>
  <c r="G25"/>
  <c r="G28"/>
  <c r="G29"/>
  <c r="G30"/>
  <c r="G31"/>
  <c r="G32"/>
  <c r="G33"/>
  <c r="G34"/>
  <c r="G15"/>
  <c r="G26"/>
  <c r="G106"/>
  <c r="AB48" i="4"/>
  <c r="AB32"/>
  <c r="AB35"/>
  <c r="AB31"/>
  <c r="AB44"/>
  <c r="AB52"/>
  <c r="F80" i="9"/>
  <c r="G80"/>
  <c r="G79"/>
  <c r="B12" i="23"/>
  <c r="G81" i="9"/>
  <c r="G83"/>
  <c r="G84"/>
  <c r="G85"/>
  <c r="G86"/>
  <c r="G87"/>
  <c r="G88"/>
  <c r="G89"/>
  <c r="G90"/>
  <c r="G94"/>
  <c r="G95"/>
  <c r="G93"/>
  <c r="G92"/>
  <c r="G91"/>
  <c r="G96"/>
  <c r="G97"/>
  <c r="G98"/>
  <c r="G99"/>
  <c r="G100"/>
  <c r="G101"/>
  <c r="G102"/>
  <c r="G104"/>
  <c r="G103"/>
  <c r="G107"/>
  <c r="G108"/>
  <c r="G109"/>
  <c r="G110"/>
  <c r="G111"/>
  <c r="G112"/>
  <c r="G113"/>
  <c r="G114"/>
  <c r="C12" i="23"/>
  <c r="G82" i="9"/>
  <c r="G105"/>
  <c r="G116"/>
  <c r="B13" i="23"/>
  <c r="C16"/>
  <c r="G52" i="9"/>
  <c r="G27"/>
  <c r="K14" i="23"/>
  <c r="J14"/>
  <c r="I14"/>
  <c r="H14"/>
  <c r="G14"/>
  <c r="F14"/>
  <c r="E14"/>
  <c r="D14"/>
  <c r="C14"/>
  <c r="G183" i="10"/>
  <c r="G182"/>
  <c r="B14" i="23"/>
  <c r="F17" i="10"/>
  <c r="G17"/>
  <c r="G19"/>
  <c r="G22"/>
  <c r="F24"/>
  <c r="G24"/>
  <c r="G23"/>
  <c r="G20"/>
  <c r="F25"/>
  <c r="G25"/>
  <c r="F27"/>
  <c r="G27"/>
  <c r="G26"/>
  <c r="T72" i="4"/>
  <c r="F28" i="10"/>
  <c r="G28"/>
  <c r="F32"/>
  <c r="G32"/>
  <c r="F34"/>
  <c r="G34"/>
  <c r="G49"/>
  <c r="G50"/>
  <c r="F51"/>
  <c r="G51"/>
  <c r="G48"/>
  <c r="AC76" i="4"/>
  <c r="AB76"/>
  <c r="AA76"/>
  <c r="Z76"/>
  <c r="Y71"/>
  <c r="Y72"/>
  <c r="Y76"/>
  <c r="X71"/>
  <c r="X72"/>
  <c r="X76"/>
  <c r="W72"/>
  <c r="W76"/>
  <c r="V76"/>
  <c r="V70"/>
  <c r="D10" i="23" s="1"/>
  <c r="U76" i="4"/>
  <c r="U77"/>
  <c r="U70"/>
  <c r="C10" i="23" s="1"/>
  <c r="G18" i="10"/>
  <c r="G21"/>
  <c r="G31"/>
  <c r="G35"/>
  <c r="G30"/>
  <c r="G29"/>
  <c r="T73" i="4"/>
  <c r="G42" i="10"/>
  <c r="G41"/>
  <c r="G53"/>
  <c r="T76" i="4"/>
  <c r="G72" i="10"/>
  <c r="G109"/>
  <c r="G146"/>
  <c r="T77" i="4"/>
  <c r="AA32"/>
  <c r="AA35"/>
  <c r="AA31"/>
  <c r="AA44"/>
  <c r="AA48"/>
  <c r="AA52"/>
  <c r="Z32"/>
  <c r="Z35"/>
  <c r="Z31"/>
  <c r="Z44"/>
  <c r="Z48"/>
  <c r="Z52"/>
  <c r="Y32"/>
  <c r="Y35"/>
  <c r="Y31"/>
  <c r="Y44"/>
  <c r="Y48"/>
  <c r="Y52"/>
  <c r="X32"/>
  <c r="X35"/>
  <c r="X31"/>
  <c r="X44"/>
  <c r="X48"/>
  <c r="X52"/>
  <c r="W32"/>
  <c r="W35"/>
  <c r="W31"/>
  <c r="W44"/>
  <c r="W48"/>
  <c r="W52"/>
  <c r="V32"/>
  <c r="V35"/>
  <c r="V31"/>
  <c r="V44"/>
  <c r="V48"/>
  <c r="V52"/>
  <c r="U11"/>
  <c r="U12"/>
  <c r="U13"/>
  <c r="U10" s="1"/>
  <c r="U14"/>
  <c r="U15"/>
  <c r="U16"/>
  <c r="U17"/>
  <c r="U18"/>
  <c r="U19"/>
  <c r="U20"/>
  <c r="U22"/>
  <c r="U23"/>
  <c r="U24"/>
  <c r="U21"/>
  <c r="U26"/>
  <c r="U27"/>
  <c r="U33"/>
  <c r="U34"/>
  <c r="U32"/>
  <c r="U36"/>
  <c r="U37"/>
  <c r="U38"/>
  <c r="U39"/>
  <c r="U40"/>
  <c r="U35"/>
  <c r="U41"/>
  <c r="U42"/>
  <c r="U43"/>
  <c r="U31"/>
  <c r="U28" s="1"/>
  <c r="U25" s="1"/>
  <c r="U30"/>
  <c r="U29"/>
  <c r="U45"/>
  <c r="U46"/>
  <c r="U47"/>
  <c r="U44"/>
  <c r="U49"/>
  <c r="U50"/>
  <c r="U51"/>
  <c r="U48"/>
  <c r="U56"/>
  <c r="U53"/>
  <c r="U54"/>
  <c r="U55"/>
  <c r="U52"/>
  <c r="U58"/>
  <c r="T11"/>
  <c r="T12"/>
  <c r="T13"/>
  <c r="T14"/>
  <c r="T15"/>
  <c r="T16"/>
  <c r="T17"/>
  <c r="T18"/>
  <c r="T19"/>
  <c r="T20"/>
  <c r="T22"/>
  <c r="T21"/>
  <c r="T10"/>
  <c r="T23"/>
  <c r="T24"/>
  <c r="T26"/>
  <c r="T27"/>
  <c r="T33"/>
  <c r="T34"/>
  <c r="T32"/>
  <c r="T36"/>
  <c r="T35" s="1"/>
  <c r="T31" s="1"/>
  <c r="T37"/>
  <c r="T38"/>
  <c r="T39"/>
  <c r="T40"/>
  <c r="T41"/>
  <c r="T42"/>
  <c r="T43"/>
  <c r="T30"/>
  <c r="T29" s="1"/>
  <c r="T45"/>
  <c r="T44" s="1"/>
  <c r="T46"/>
  <c r="T47"/>
  <c r="T49"/>
  <c r="T48" s="1"/>
  <c r="T50"/>
  <c r="T51"/>
  <c r="T56"/>
  <c r="T53"/>
  <c r="T52"/>
  <c r="T54"/>
  <c r="T55"/>
  <c r="T58"/>
  <c r="G210" i="10"/>
  <c r="P55" i="6"/>
  <c r="P4"/>
  <c r="P3"/>
  <c r="P2"/>
  <c r="P58"/>
  <c r="P5"/>
  <c r="P61"/>
  <c r="P6"/>
  <c r="P64"/>
  <c r="P7"/>
  <c r="P67"/>
  <c r="P8"/>
  <c r="P70"/>
  <c r="P9"/>
  <c r="P73"/>
  <c r="P10"/>
  <c r="P76"/>
  <c r="P11"/>
  <c r="P79"/>
  <c r="P12"/>
  <c r="P82"/>
  <c r="P13"/>
  <c r="M30" i="1"/>
  <c r="M32"/>
  <c r="M33"/>
  <c r="M34"/>
  <c r="M35"/>
  <c r="M36"/>
  <c r="M37"/>
  <c r="M38"/>
  <c r="M39"/>
  <c r="M40"/>
  <c r="M43"/>
  <c r="M42" s="1"/>
  <c r="M29" s="1"/>
  <c r="C11" i="5" s="1"/>
  <c r="D11" s="1"/>
  <c r="M44" i="1"/>
  <c r="M45"/>
  <c r="M46"/>
  <c r="M47"/>
  <c r="M48"/>
  <c r="M49"/>
  <c r="M31"/>
  <c r="M41"/>
  <c r="M51"/>
  <c r="M52"/>
  <c r="M53"/>
  <c r="M55"/>
  <c r="M56"/>
  <c r="M54" s="1"/>
  <c r="M63"/>
  <c r="M64"/>
  <c r="M62"/>
  <c r="M66"/>
  <c r="M65" s="1"/>
  <c r="M67"/>
  <c r="M68"/>
  <c r="M69"/>
  <c r="M70"/>
  <c r="M71"/>
  <c r="M72"/>
  <c r="M73"/>
  <c r="M59"/>
  <c r="M60"/>
  <c r="M58" s="1"/>
  <c r="M75"/>
  <c r="M74" s="1"/>
  <c r="M76"/>
  <c r="M77"/>
  <c r="M79"/>
  <c r="M78" s="1"/>
  <c r="M80"/>
  <c r="M81"/>
  <c r="M86"/>
  <c r="M83"/>
  <c r="M84"/>
  <c r="M85"/>
  <c r="M82"/>
  <c r="M123"/>
  <c r="C15" i="5"/>
  <c r="D15" s="1"/>
  <c r="O33"/>
  <c r="O143" i="3" s="1"/>
  <c r="O144"/>
  <c r="D30" i="5"/>
  <c r="D25"/>
  <c r="D41"/>
  <c r="G94" i="10"/>
  <c r="G97"/>
  <c r="G98"/>
  <c r="G100"/>
  <c r="G58"/>
  <c r="G63"/>
  <c r="G167"/>
  <c r="G168"/>
  <c r="G170"/>
  <c r="F171"/>
  <c r="G171"/>
  <c r="F173"/>
  <c r="G173"/>
  <c r="F174"/>
  <c r="G174"/>
  <c r="G180"/>
  <c r="G69"/>
  <c r="G123" i="3"/>
  <c r="H123"/>
  <c r="I123" s="1"/>
  <c r="J123" s="1"/>
  <c r="K123" s="1"/>
  <c r="L123" s="1"/>
  <c r="C122"/>
  <c r="G122"/>
  <c r="H122" s="1"/>
  <c r="I122" s="1"/>
  <c r="J122" s="1"/>
  <c r="K122" s="1"/>
  <c r="L122" s="1"/>
  <c r="M122" s="1"/>
  <c r="N122" s="1"/>
  <c r="O122" s="1"/>
  <c r="P122" s="1"/>
  <c r="Q122" s="1"/>
  <c r="R122" s="1"/>
  <c r="S122" s="1"/>
  <c r="T122" s="1"/>
  <c r="D232"/>
  <c r="D234"/>
  <c r="D235"/>
  <c r="E235"/>
  <c r="N55" i="6"/>
  <c r="N4"/>
  <c r="N58"/>
  <c r="N5"/>
  <c r="N61"/>
  <c r="N6"/>
  <c r="N64"/>
  <c r="N7"/>
  <c r="N67"/>
  <c r="N8"/>
  <c r="N70"/>
  <c r="N9"/>
  <c r="N73"/>
  <c r="N10"/>
  <c r="N76"/>
  <c r="N11"/>
  <c r="N79"/>
  <c r="N12"/>
  <c r="N82"/>
  <c r="N13"/>
  <c r="O55"/>
  <c r="O4"/>
  <c r="O3"/>
  <c r="O2"/>
  <c r="O58"/>
  <c r="O5"/>
  <c r="O61"/>
  <c r="O6"/>
  <c r="O64"/>
  <c r="O7"/>
  <c r="O67"/>
  <c r="O8"/>
  <c r="O70"/>
  <c r="O9"/>
  <c r="O73"/>
  <c r="O10"/>
  <c r="O76"/>
  <c r="O11"/>
  <c r="O79"/>
  <c r="O12"/>
  <c r="O82"/>
  <c r="O13"/>
  <c r="M55"/>
  <c r="M4"/>
  <c r="M58"/>
  <c r="M5"/>
  <c r="M61"/>
  <c r="M6"/>
  <c r="M64"/>
  <c r="M7"/>
  <c r="M67"/>
  <c r="M8"/>
  <c r="M70"/>
  <c r="M9"/>
  <c r="M73"/>
  <c r="M10"/>
  <c r="M76"/>
  <c r="M11"/>
  <c r="M79"/>
  <c r="M12"/>
  <c r="M82"/>
  <c r="M13"/>
  <c r="L55"/>
  <c r="L4"/>
  <c r="L58"/>
  <c r="L5"/>
  <c r="L61"/>
  <c r="L6"/>
  <c r="L64"/>
  <c r="L7"/>
  <c r="L67"/>
  <c r="L8"/>
  <c r="L70"/>
  <c r="L9"/>
  <c r="L73"/>
  <c r="L10"/>
  <c r="L76"/>
  <c r="L11"/>
  <c r="L79"/>
  <c r="L12"/>
  <c r="L82"/>
  <c r="L13"/>
  <c r="K55"/>
  <c r="K4"/>
  <c r="K3"/>
  <c r="K2"/>
  <c r="K58"/>
  <c r="K5"/>
  <c r="K61"/>
  <c r="K6"/>
  <c r="K64"/>
  <c r="K7"/>
  <c r="K67"/>
  <c r="K8"/>
  <c r="K70"/>
  <c r="K9"/>
  <c r="K73"/>
  <c r="K10"/>
  <c r="K76"/>
  <c r="K11"/>
  <c r="K79"/>
  <c r="K12"/>
  <c r="K82"/>
  <c r="K13"/>
  <c r="J55"/>
  <c r="J4"/>
  <c r="J58"/>
  <c r="J5"/>
  <c r="J61"/>
  <c r="J6"/>
  <c r="J64"/>
  <c r="J7"/>
  <c r="J67"/>
  <c r="J8"/>
  <c r="J70"/>
  <c r="J9"/>
  <c r="J73"/>
  <c r="J10"/>
  <c r="J76"/>
  <c r="J11"/>
  <c r="J79"/>
  <c r="J12"/>
  <c r="J82"/>
  <c r="J13"/>
  <c r="I55"/>
  <c r="I4"/>
  <c r="I3"/>
  <c r="I2"/>
  <c r="I58"/>
  <c r="I5"/>
  <c r="I61"/>
  <c r="I6"/>
  <c r="I64"/>
  <c r="I7"/>
  <c r="I67"/>
  <c r="I8"/>
  <c r="I70"/>
  <c r="I9"/>
  <c r="I73"/>
  <c r="I10"/>
  <c r="I76"/>
  <c r="I11"/>
  <c r="I79"/>
  <c r="I12"/>
  <c r="I82"/>
  <c r="I13"/>
  <c r="H55"/>
  <c r="H4"/>
  <c r="H58"/>
  <c r="H5"/>
  <c r="H61"/>
  <c r="H6"/>
  <c r="H64"/>
  <c r="H7"/>
  <c r="H67"/>
  <c r="H8"/>
  <c r="H70"/>
  <c r="H9"/>
  <c r="H73"/>
  <c r="H10"/>
  <c r="H76"/>
  <c r="H11"/>
  <c r="H79"/>
  <c r="H12"/>
  <c r="H82"/>
  <c r="H13"/>
  <c r="G55"/>
  <c r="G4"/>
  <c r="G3"/>
  <c r="G2"/>
  <c r="G58"/>
  <c r="G5"/>
  <c r="G61"/>
  <c r="G6"/>
  <c r="G64"/>
  <c r="G7"/>
  <c r="G67"/>
  <c r="G8"/>
  <c r="G70"/>
  <c r="G9"/>
  <c r="G73"/>
  <c r="G10"/>
  <c r="G76"/>
  <c r="G11"/>
  <c r="G79"/>
  <c r="G12"/>
  <c r="G82"/>
  <c r="G13"/>
  <c r="G187" i="10"/>
  <c r="G195"/>
  <c r="G93"/>
  <c r="G130"/>
  <c r="G39" i="9"/>
  <c r="G74"/>
  <c r="G43"/>
  <c r="G66"/>
  <c r="G70"/>
  <c r="G86" i="10"/>
  <c r="G123"/>
  <c r="G160"/>
  <c r="G54"/>
  <c r="G52" s="1"/>
  <c r="C156" i="3"/>
  <c r="C154"/>
  <c r="Q55" i="6"/>
  <c r="Q4"/>
  <c r="Q58"/>
  <c r="Q5"/>
  <c r="Q61"/>
  <c r="Q6"/>
  <c r="Q64"/>
  <c r="Q7"/>
  <c r="Q67"/>
  <c r="Q8"/>
  <c r="Q70"/>
  <c r="Q9"/>
  <c r="Q73"/>
  <c r="Q10"/>
  <c r="Q76"/>
  <c r="Q11"/>
  <c r="Q79"/>
  <c r="Q12"/>
  <c r="Q82"/>
  <c r="Q13"/>
  <c r="Q15"/>
  <c r="Q16"/>
  <c r="Q14"/>
  <c r="Q181" i="10"/>
  <c r="P61" i="3"/>
  <c r="Q17" i="6"/>
  <c r="Q18"/>
  <c r="Q19"/>
  <c r="Q20"/>
  <c r="Q21"/>
  <c r="Q22"/>
  <c r="C45" i="5"/>
  <c r="C69"/>
  <c r="H150" i="8"/>
  <c r="I150"/>
  <c r="J150"/>
  <c r="K150"/>
  <c r="L150"/>
  <c r="M150"/>
  <c r="N150"/>
  <c r="O150"/>
  <c r="P150"/>
  <c r="Q150"/>
  <c r="G151"/>
  <c r="H151"/>
  <c r="I151" s="1"/>
  <c r="J151" s="1"/>
  <c r="K151" s="1"/>
  <c r="L151" s="1"/>
  <c r="M151" s="1"/>
  <c r="N151" s="1"/>
  <c r="O151" s="1"/>
  <c r="P151" s="1"/>
  <c r="Q151" s="1"/>
  <c r="G113"/>
  <c r="H113" s="1"/>
  <c r="I113" s="1"/>
  <c r="J113" s="1"/>
  <c r="K113" s="1"/>
  <c r="L113" s="1"/>
  <c r="M113" s="1"/>
  <c r="N113" s="1"/>
  <c r="O113" s="1"/>
  <c r="P113" s="1"/>
  <c r="Q113" s="1"/>
  <c r="F111"/>
  <c r="G111"/>
  <c r="H111" s="1"/>
  <c r="I111" s="1"/>
  <c r="J111" s="1"/>
  <c r="K111" s="1"/>
  <c r="L111" s="1"/>
  <c r="M111" s="1"/>
  <c r="N111" s="1"/>
  <c r="O111" s="1"/>
  <c r="P111" s="1"/>
  <c r="Q111" s="1"/>
  <c r="F127"/>
  <c r="F75"/>
  <c r="F95"/>
  <c r="F98"/>
  <c r="F99"/>
  <c r="F82" i="9"/>
  <c r="F100" i="8"/>
  <c r="F93" i="9"/>
  <c r="F92"/>
  <c r="F91"/>
  <c r="F101" i="8"/>
  <c r="F105" i="9"/>
  <c r="F103"/>
  <c r="F102" i="8"/>
  <c r="F103"/>
  <c r="F104"/>
  <c r="F116" i="9"/>
  <c r="F105" i="8"/>
  <c r="F106"/>
  <c r="F107"/>
  <c r="S11" i="4"/>
  <c r="F85" i="8" s="1"/>
  <c r="F84" s="1"/>
  <c r="S12" i="4"/>
  <c r="F86" i="8"/>
  <c r="S13" i="4"/>
  <c r="F87" i="8"/>
  <c r="S14" i="4"/>
  <c r="F88" i="8"/>
  <c r="F89"/>
  <c r="F93"/>
  <c r="F91" s="1"/>
  <c r="G92"/>
  <c r="H92" s="1"/>
  <c r="I92" s="1"/>
  <c r="J92" s="1"/>
  <c r="K92" s="1"/>
  <c r="L92" s="1"/>
  <c r="M92" s="1"/>
  <c r="N92" s="1"/>
  <c r="O92" s="1"/>
  <c r="P92" s="1"/>
  <c r="Q92" s="1"/>
  <c r="F76"/>
  <c r="G76"/>
  <c r="H76"/>
  <c r="I76"/>
  <c r="J76"/>
  <c r="K76"/>
  <c r="L76"/>
  <c r="M76"/>
  <c r="N76"/>
  <c r="O76"/>
  <c r="P76"/>
  <c r="Q76"/>
  <c r="F77"/>
  <c r="G77"/>
  <c r="H77"/>
  <c r="I77"/>
  <c r="J77"/>
  <c r="K77"/>
  <c r="L77"/>
  <c r="M77"/>
  <c r="N77"/>
  <c r="O77"/>
  <c r="P77"/>
  <c r="Q77"/>
  <c r="F66"/>
  <c r="G67"/>
  <c r="H67"/>
  <c r="I67"/>
  <c r="J67"/>
  <c r="K67"/>
  <c r="L67"/>
  <c r="M67"/>
  <c r="N67"/>
  <c r="O67"/>
  <c r="P67"/>
  <c r="Q67"/>
  <c r="G60"/>
  <c r="H60"/>
  <c r="I60" s="1"/>
  <c r="J60" s="1"/>
  <c r="K60" s="1"/>
  <c r="L60" s="1"/>
  <c r="M60" s="1"/>
  <c r="N60" s="1"/>
  <c r="O60" s="1"/>
  <c r="P60" s="1"/>
  <c r="Q60" s="1"/>
  <c r="Q49"/>
  <c r="Q50"/>
  <c r="G51"/>
  <c r="H51"/>
  <c r="I51"/>
  <c r="J51"/>
  <c r="G52"/>
  <c r="H52"/>
  <c r="O50"/>
  <c r="N50"/>
  <c r="M50"/>
  <c r="L50"/>
  <c r="K50"/>
  <c r="J49"/>
  <c r="J50"/>
  <c r="I49"/>
  <c r="I50"/>
  <c r="H49"/>
  <c r="H50"/>
  <c r="G50"/>
  <c r="F47" i="9"/>
  <c r="F49" i="8"/>
  <c r="F48"/>
  <c r="F50"/>
  <c r="N33" i="5"/>
  <c r="N143" i="3" s="1"/>
  <c r="N144"/>
  <c r="M33" i="5"/>
  <c r="M42"/>
  <c r="M143" i="3"/>
  <c r="M144"/>
  <c r="H128"/>
  <c r="B43"/>
  <c r="B42"/>
  <c r="B55"/>
  <c r="B52"/>
  <c r="F27" i="9"/>
  <c r="F39"/>
  <c r="F74"/>
  <c r="F43"/>
  <c r="F52"/>
  <c r="F66"/>
  <c r="F70"/>
  <c r="F18" i="10"/>
  <c r="F21"/>
  <c r="F23"/>
  <c r="F20"/>
  <c r="F16"/>
  <c r="F26"/>
  <c r="F187"/>
  <c r="F195"/>
  <c r="F109"/>
  <c r="F123"/>
  <c r="F146"/>
  <c r="F160"/>
  <c r="F72"/>
  <c r="F86"/>
  <c r="F53"/>
  <c r="F54"/>
  <c r="F52"/>
  <c r="F166"/>
  <c r="F130"/>
  <c r="F102"/>
  <c r="F93"/>
  <c r="F181"/>
  <c r="C25" i="22"/>
  <c r="C30" s="1"/>
  <c r="C32"/>
  <c r="C34"/>
  <c r="C36"/>
  <c r="C38"/>
  <c r="C40"/>
  <c r="C44"/>
  <c r="C45"/>
  <c r="C46"/>
  <c r="C47"/>
  <c r="C48"/>
  <c r="C49"/>
  <c r="C31"/>
  <c r="C41"/>
  <c r="C51"/>
  <c r="C52"/>
  <c r="C53"/>
  <c r="C55"/>
  <c r="C56"/>
  <c r="C54"/>
  <c r="C63"/>
  <c r="C64"/>
  <c r="C62" s="1"/>
  <c r="C66"/>
  <c r="C65" s="1"/>
  <c r="L65" s="1"/>
  <c r="C67"/>
  <c r="C68"/>
  <c r="C69"/>
  <c r="C70"/>
  <c r="C71"/>
  <c r="C72"/>
  <c r="C73"/>
  <c r="C59"/>
  <c r="C60"/>
  <c r="C58"/>
  <c r="C75"/>
  <c r="C76"/>
  <c r="C77"/>
  <c r="C74"/>
  <c r="C79"/>
  <c r="C80"/>
  <c r="C81"/>
  <c r="C78" s="1"/>
  <c r="L78" s="1"/>
  <c r="C86"/>
  <c r="C83"/>
  <c r="C84"/>
  <c r="C85"/>
  <c r="C82"/>
  <c r="C88"/>
  <c r="C89"/>
  <c r="C91"/>
  <c r="C92"/>
  <c r="C90" s="1"/>
  <c r="C93"/>
  <c r="C94"/>
  <c r="C95"/>
  <c r="C96"/>
  <c r="C97"/>
  <c r="C98"/>
  <c r="C102"/>
  <c r="C101" s="1"/>
  <c r="C103"/>
  <c r="C104"/>
  <c r="C105"/>
  <c r="C106"/>
  <c r="C107"/>
  <c r="C108"/>
  <c r="C109"/>
  <c r="C110"/>
  <c r="C112"/>
  <c r="C114"/>
  <c r="C115"/>
  <c r="C113" s="1"/>
  <c r="L113" s="1"/>
  <c r="C116"/>
  <c r="C117"/>
  <c r="C118"/>
  <c r="C119"/>
  <c r="C120"/>
  <c r="C121"/>
  <c r="C122"/>
  <c r="C123"/>
  <c r="C124"/>
  <c r="C126"/>
  <c r="C127"/>
  <c r="C125"/>
  <c r="C128"/>
  <c r="C129"/>
  <c r="C130"/>
  <c r="D42"/>
  <c r="D29"/>
  <c r="D28"/>
  <c r="D27"/>
  <c r="D54"/>
  <c r="D62"/>
  <c r="D65"/>
  <c r="D61"/>
  <c r="D57"/>
  <c r="D50"/>
  <c r="D58"/>
  <c r="D74"/>
  <c r="D78"/>
  <c r="D82"/>
  <c r="D90"/>
  <c r="D101"/>
  <c r="D100"/>
  <c r="D99"/>
  <c r="D87"/>
  <c r="D113"/>
  <c r="D111"/>
  <c r="D125"/>
  <c r="E32"/>
  <c r="E34"/>
  <c r="E36"/>
  <c r="E38"/>
  <c r="E40"/>
  <c r="E44"/>
  <c r="E45"/>
  <c r="E46"/>
  <c r="E47"/>
  <c r="E48"/>
  <c r="E49"/>
  <c r="E31"/>
  <c r="E41"/>
  <c r="E51"/>
  <c r="E52"/>
  <c r="E53"/>
  <c r="E55"/>
  <c r="E56"/>
  <c r="E54"/>
  <c r="E63"/>
  <c r="E64"/>
  <c r="E62" s="1"/>
  <c r="E66"/>
  <c r="E65" s="1"/>
  <c r="E67"/>
  <c r="E68"/>
  <c r="E69"/>
  <c r="E70"/>
  <c r="E71"/>
  <c r="E72"/>
  <c r="E73"/>
  <c r="E59"/>
  <c r="E60"/>
  <c r="E58" s="1"/>
  <c r="E75"/>
  <c r="E74" s="1"/>
  <c r="E76"/>
  <c r="E77"/>
  <c r="E79"/>
  <c r="E78" s="1"/>
  <c r="E80"/>
  <c r="E81"/>
  <c r="E86"/>
  <c r="E83"/>
  <c r="E84"/>
  <c r="E85"/>
  <c r="E82"/>
  <c r="E88"/>
  <c r="E89"/>
  <c r="E91"/>
  <c r="E92"/>
  <c r="E90" s="1"/>
  <c r="E93"/>
  <c r="E94"/>
  <c r="E95"/>
  <c r="E96"/>
  <c r="E97"/>
  <c r="E98"/>
  <c r="E102"/>
  <c r="E101" s="1"/>
  <c r="E103"/>
  <c r="E104"/>
  <c r="E105"/>
  <c r="E106"/>
  <c r="E107"/>
  <c r="E108"/>
  <c r="E109"/>
  <c r="E110"/>
  <c r="E112"/>
  <c r="E114"/>
  <c r="E115"/>
  <c r="E113" s="1"/>
  <c r="E116"/>
  <c r="E117"/>
  <c r="E118"/>
  <c r="E119"/>
  <c r="E120"/>
  <c r="E121"/>
  <c r="E122"/>
  <c r="E123"/>
  <c r="E124"/>
  <c r="E126"/>
  <c r="E127"/>
  <c r="E125" s="1"/>
  <c r="E128"/>
  <c r="E129"/>
  <c r="E130"/>
  <c r="G42"/>
  <c r="G29"/>
  <c r="G28"/>
  <c r="G54"/>
  <c r="G62"/>
  <c r="G65"/>
  <c r="G61"/>
  <c r="G58"/>
  <c r="G74"/>
  <c r="G78"/>
  <c r="G57"/>
  <c r="G82"/>
  <c r="G50"/>
  <c r="G90"/>
  <c r="G101"/>
  <c r="G100"/>
  <c r="G99"/>
  <c r="G113"/>
  <c r="G111"/>
  <c r="G125"/>
  <c r="H42"/>
  <c r="H29"/>
  <c r="H51"/>
  <c r="H54"/>
  <c r="H62"/>
  <c r="H65"/>
  <c r="H61"/>
  <c r="H58"/>
  <c r="H74"/>
  <c r="H78"/>
  <c r="H82"/>
  <c r="H88"/>
  <c r="H90"/>
  <c r="H101"/>
  <c r="H100"/>
  <c r="H99"/>
  <c r="H113"/>
  <c r="H111"/>
  <c r="H125"/>
  <c r="J42"/>
  <c r="J29"/>
  <c r="J51"/>
  <c r="J54"/>
  <c r="J62"/>
  <c r="J61"/>
  <c r="J57"/>
  <c r="J50"/>
  <c r="J67"/>
  <c r="J65"/>
  <c r="J58"/>
  <c r="J74"/>
  <c r="J78"/>
  <c r="J82"/>
  <c r="J88"/>
  <c r="J90"/>
  <c r="J101"/>
  <c r="J100"/>
  <c r="J99"/>
  <c r="J113"/>
  <c r="J111"/>
  <c r="J125"/>
  <c r="O190"/>
  <c r="M30" s="1"/>
  <c r="M32"/>
  <c r="M34"/>
  <c r="M36"/>
  <c r="M38"/>
  <c r="M40"/>
  <c r="M44"/>
  <c r="M46"/>
  <c r="M48"/>
  <c r="M31"/>
  <c r="M51"/>
  <c r="M53"/>
  <c r="M56"/>
  <c r="M63"/>
  <c r="M68"/>
  <c r="M70"/>
  <c r="M72"/>
  <c r="M59"/>
  <c r="M76"/>
  <c r="M80"/>
  <c r="M83"/>
  <c r="M85"/>
  <c r="M88"/>
  <c r="M91"/>
  <c r="M94"/>
  <c r="M96"/>
  <c r="M98"/>
  <c r="M104"/>
  <c r="M106"/>
  <c r="M108"/>
  <c r="M110"/>
  <c r="M114"/>
  <c r="M117"/>
  <c r="M119"/>
  <c r="M121"/>
  <c r="M123"/>
  <c r="M126"/>
  <c r="M129"/>
  <c r="K30"/>
  <c r="F31"/>
  <c r="I31"/>
  <c r="K31"/>
  <c r="L31"/>
  <c r="F32"/>
  <c r="I32"/>
  <c r="K32"/>
  <c r="L32"/>
  <c r="K33"/>
  <c r="F34"/>
  <c r="I34"/>
  <c r="K34"/>
  <c r="L34"/>
  <c r="K35"/>
  <c r="F36"/>
  <c r="I36"/>
  <c r="K36"/>
  <c r="L36"/>
  <c r="K37"/>
  <c r="F38"/>
  <c r="I38"/>
  <c r="L38"/>
  <c r="K39"/>
  <c r="F40"/>
  <c r="I40"/>
  <c r="K40"/>
  <c r="L40"/>
  <c r="F41"/>
  <c r="I41"/>
  <c r="K41"/>
  <c r="L41"/>
  <c r="K42"/>
  <c r="B43"/>
  <c r="K43"/>
  <c r="B44"/>
  <c r="F44"/>
  <c r="I44"/>
  <c r="K44"/>
  <c r="L44"/>
  <c r="B45"/>
  <c r="F45"/>
  <c r="I45"/>
  <c r="K45"/>
  <c r="L45"/>
  <c r="F46"/>
  <c r="I46"/>
  <c r="K46"/>
  <c r="L46"/>
  <c r="F47"/>
  <c r="I47"/>
  <c r="K47"/>
  <c r="L47"/>
  <c r="F48"/>
  <c r="I48"/>
  <c r="K48"/>
  <c r="L48"/>
  <c r="F49"/>
  <c r="I49"/>
  <c r="K49"/>
  <c r="L49"/>
  <c r="F51"/>
  <c r="I51"/>
  <c r="K51"/>
  <c r="L51"/>
  <c r="F52"/>
  <c r="I52"/>
  <c r="L52"/>
  <c r="F53"/>
  <c r="I53"/>
  <c r="K53"/>
  <c r="L53"/>
  <c r="F54"/>
  <c r="I54"/>
  <c r="K54"/>
  <c r="L54"/>
  <c r="F55"/>
  <c r="I55"/>
  <c r="K55"/>
  <c r="L55"/>
  <c r="F56"/>
  <c r="I56"/>
  <c r="K56"/>
  <c r="L56"/>
  <c r="K58"/>
  <c r="L58"/>
  <c r="F59"/>
  <c r="I59"/>
  <c r="K59"/>
  <c r="L59"/>
  <c r="F60"/>
  <c r="I60"/>
  <c r="K60"/>
  <c r="L60"/>
  <c r="K62"/>
  <c r="F63"/>
  <c r="I63"/>
  <c r="K63"/>
  <c r="L63"/>
  <c r="F64"/>
  <c r="I64"/>
  <c r="K64"/>
  <c r="L64"/>
  <c r="K65"/>
  <c r="F66"/>
  <c r="I66"/>
  <c r="K66"/>
  <c r="L66"/>
  <c r="F67"/>
  <c r="I67"/>
  <c r="K67"/>
  <c r="L67"/>
  <c r="F68"/>
  <c r="I68"/>
  <c r="K68"/>
  <c r="L68"/>
  <c r="F69"/>
  <c r="I69"/>
  <c r="K69"/>
  <c r="L69"/>
  <c r="F70"/>
  <c r="I70"/>
  <c r="K70"/>
  <c r="L70"/>
  <c r="F71"/>
  <c r="I71"/>
  <c r="K71"/>
  <c r="L71"/>
  <c r="F72"/>
  <c r="I72"/>
  <c r="K72"/>
  <c r="L72"/>
  <c r="F73"/>
  <c r="I73"/>
  <c r="K73"/>
  <c r="L73"/>
  <c r="K74"/>
  <c r="L74"/>
  <c r="F75"/>
  <c r="I75"/>
  <c r="K75"/>
  <c r="L75"/>
  <c r="F76"/>
  <c r="I76"/>
  <c r="K76"/>
  <c r="L76"/>
  <c r="F77"/>
  <c r="I77"/>
  <c r="K77"/>
  <c r="L77"/>
  <c r="K78"/>
  <c r="F79"/>
  <c r="I79"/>
  <c r="K79"/>
  <c r="L79"/>
  <c r="F80"/>
  <c r="I80"/>
  <c r="K80"/>
  <c r="L80"/>
  <c r="F81"/>
  <c r="I81"/>
  <c r="K81"/>
  <c r="L81"/>
  <c r="F82"/>
  <c r="I82"/>
  <c r="L82"/>
  <c r="F83"/>
  <c r="I83"/>
  <c r="K83"/>
  <c r="L83"/>
  <c r="F84"/>
  <c r="I84"/>
  <c r="K84"/>
  <c r="L84"/>
  <c r="F85"/>
  <c r="I85"/>
  <c r="L85"/>
  <c r="F86"/>
  <c r="I86"/>
  <c r="K86"/>
  <c r="L86"/>
  <c r="F88"/>
  <c r="I88"/>
  <c r="K88"/>
  <c r="L88"/>
  <c r="F89"/>
  <c r="I89"/>
  <c r="K89"/>
  <c r="L89"/>
  <c r="K90"/>
  <c r="F91"/>
  <c r="I91"/>
  <c r="K91"/>
  <c r="L91"/>
  <c r="F92"/>
  <c r="I92"/>
  <c r="K92"/>
  <c r="L92"/>
  <c r="F93"/>
  <c r="I93"/>
  <c r="K93"/>
  <c r="L93"/>
  <c r="F94"/>
  <c r="I94"/>
  <c r="K94"/>
  <c r="L94"/>
  <c r="F95"/>
  <c r="I95"/>
  <c r="K95"/>
  <c r="L95"/>
  <c r="F96"/>
  <c r="I96"/>
  <c r="K96"/>
  <c r="L96"/>
  <c r="F97"/>
  <c r="I97"/>
  <c r="K97"/>
  <c r="L97"/>
  <c r="F98"/>
  <c r="I98"/>
  <c r="K98"/>
  <c r="L98"/>
  <c r="K100"/>
  <c r="K101"/>
  <c r="F102"/>
  <c r="I102"/>
  <c r="K102"/>
  <c r="L102"/>
  <c r="F103"/>
  <c r="I103"/>
  <c r="K103"/>
  <c r="L103"/>
  <c r="F104"/>
  <c r="I104"/>
  <c r="K104"/>
  <c r="L104"/>
  <c r="F105"/>
  <c r="I105"/>
  <c r="K105"/>
  <c r="L105"/>
  <c r="F106"/>
  <c r="I106"/>
  <c r="K106"/>
  <c r="L106"/>
  <c r="F107"/>
  <c r="I107"/>
  <c r="K107"/>
  <c r="L107"/>
  <c r="F108"/>
  <c r="I108"/>
  <c r="K108"/>
  <c r="L108"/>
  <c r="F109"/>
  <c r="I109"/>
  <c r="K109"/>
  <c r="L109"/>
  <c r="F110"/>
  <c r="I110"/>
  <c r="K110"/>
  <c r="L110"/>
  <c r="F112"/>
  <c r="I112"/>
  <c r="K112"/>
  <c r="L112"/>
  <c r="K113"/>
  <c r="F114"/>
  <c r="I114"/>
  <c r="K114"/>
  <c r="L114"/>
  <c r="F115"/>
  <c r="I115"/>
  <c r="K115"/>
  <c r="L115"/>
  <c r="F116"/>
  <c r="I116"/>
  <c r="K116"/>
  <c r="L116"/>
  <c r="F117"/>
  <c r="I117"/>
  <c r="K117"/>
  <c r="L117"/>
  <c r="F118"/>
  <c r="I118"/>
  <c r="K118"/>
  <c r="L118"/>
  <c r="F119"/>
  <c r="I119"/>
  <c r="K119"/>
  <c r="L119"/>
  <c r="F120"/>
  <c r="I120"/>
  <c r="K120"/>
  <c r="L120"/>
  <c r="F121"/>
  <c r="I121"/>
  <c r="L121"/>
  <c r="F122"/>
  <c r="I122"/>
  <c r="K122"/>
  <c r="L122"/>
  <c r="F123"/>
  <c r="I123"/>
  <c r="K123"/>
  <c r="L123"/>
  <c r="F124"/>
  <c r="I124"/>
  <c r="K124"/>
  <c r="L124"/>
  <c r="K125"/>
  <c r="L125"/>
  <c r="F126"/>
  <c r="I126"/>
  <c r="K126"/>
  <c r="L126"/>
  <c r="F127"/>
  <c r="I127"/>
  <c r="K127"/>
  <c r="L127"/>
  <c r="F128"/>
  <c r="I128"/>
  <c r="K128"/>
  <c r="L128"/>
  <c r="F129"/>
  <c r="I129"/>
  <c r="K129"/>
  <c r="L129"/>
  <c r="F130"/>
  <c r="I130"/>
  <c r="K130"/>
  <c r="L130"/>
  <c r="B182"/>
  <c r="B183"/>
  <c r="B184"/>
  <c r="B185"/>
  <c r="B186"/>
  <c r="B187"/>
  <c r="B188"/>
  <c r="B189"/>
  <c r="F190"/>
  <c r="G190"/>
  <c r="H190"/>
  <c r="I190"/>
  <c r="J190"/>
  <c r="K190"/>
  <c r="A191"/>
  <c r="A192"/>
  <c r="A193"/>
  <c r="A194"/>
  <c r="B194"/>
  <c r="A195"/>
  <c r="A196"/>
  <c r="A197"/>
  <c r="A198"/>
  <c r="A199"/>
  <c r="A200"/>
  <c r="A201"/>
  <c r="A202"/>
  <c r="A203"/>
  <c r="A204"/>
  <c r="A205"/>
  <c r="A206"/>
  <c r="A207"/>
  <c r="A208" s="1"/>
  <c r="A209" s="1"/>
  <c r="A210" s="1"/>
  <c r="A211" s="1"/>
  <c r="A212" s="1"/>
  <c r="A213" s="1"/>
  <c r="A214" s="1"/>
  <c r="A215" s="1"/>
  <c r="A216" s="1"/>
  <c r="A217" s="1"/>
  <c r="J88" i="1"/>
  <c r="J67"/>
  <c r="J51"/>
  <c r="B45"/>
  <c r="B44"/>
  <c r="B43"/>
  <c r="G75" i="4"/>
  <c r="G74"/>
  <c r="C25" i="1"/>
  <c r="D22" i="2"/>
  <c r="H10" i="10"/>
  <c r="G73" i="4"/>
  <c r="C24"/>
  <c r="C23"/>
  <c r="C22"/>
  <c r="F35" i="10"/>
  <c r="F31"/>
  <c r="F30"/>
  <c r="F29"/>
  <c r="F42"/>
  <c r="F41"/>
  <c r="F46" i="9"/>
  <c r="C14" i="3"/>
  <c r="C15"/>
  <c r="C30" i="1"/>
  <c r="C130"/>
  <c r="E130" s="1"/>
  <c r="C129"/>
  <c r="E129" s="1"/>
  <c r="C128"/>
  <c r="E128" s="1"/>
  <c r="C127"/>
  <c r="E127" s="1"/>
  <c r="C126"/>
  <c r="E126" s="1"/>
  <c r="E125" s="1"/>
  <c r="C124"/>
  <c r="E124"/>
  <c r="C123"/>
  <c r="E123"/>
  <c r="C122"/>
  <c r="E122"/>
  <c r="C121"/>
  <c r="E121"/>
  <c r="C120"/>
  <c r="E120"/>
  <c r="C119"/>
  <c r="E119"/>
  <c r="C118"/>
  <c r="E118"/>
  <c r="C117"/>
  <c r="E117"/>
  <c r="C116"/>
  <c r="E116"/>
  <c r="C115"/>
  <c r="E115"/>
  <c r="C114"/>
  <c r="E114"/>
  <c r="C112"/>
  <c r="E112"/>
  <c r="C110"/>
  <c r="E110"/>
  <c r="C109"/>
  <c r="E109"/>
  <c r="C108"/>
  <c r="E108"/>
  <c r="C107"/>
  <c r="E107"/>
  <c r="C106"/>
  <c r="E106"/>
  <c r="C105"/>
  <c r="E105"/>
  <c r="C104"/>
  <c r="E104"/>
  <c r="C103"/>
  <c r="E103"/>
  <c r="C102"/>
  <c r="E102" s="1"/>
  <c r="C98"/>
  <c r="E98" s="1"/>
  <c r="C97"/>
  <c r="E97" s="1"/>
  <c r="C96"/>
  <c r="E96" s="1"/>
  <c r="C95"/>
  <c r="E95" s="1"/>
  <c r="C94"/>
  <c r="E94" s="1"/>
  <c r="C93"/>
  <c r="E93" s="1"/>
  <c r="C92"/>
  <c r="E92" s="1"/>
  <c r="C91"/>
  <c r="E91" s="1"/>
  <c r="C89"/>
  <c r="E89" s="1"/>
  <c r="C88"/>
  <c r="E88" s="1"/>
  <c r="C86"/>
  <c r="E86" s="1"/>
  <c r="C85"/>
  <c r="E85" s="1"/>
  <c r="C84"/>
  <c r="E84" s="1"/>
  <c r="C83"/>
  <c r="C81"/>
  <c r="E81"/>
  <c r="C80"/>
  <c r="E80"/>
  <c r="C79"/>
  <c r="C77"/>
  <c r="E77" s="1"/>
  <c r="C76"/>
  <c r="E76" s="1"/>
  <c r="C75"/>
  <c r="E75" s="1"/>
  <c r="C73"/>
  <c r="E73" s="1"/>
  <c r="C72"/>
  <c r="E72" s="1"/>
  <c r="C71"/>
  <c r="E71" s="1"/>
  <c r="C70"/>
  <c r="E70" s="1"/>
  <c r="C69"/>
  <c r="E69" s="1"/>
  <c r="C68"/>
  <c r="E68" s="1"/>
  <c r="C67"/>
  <c r="E67" s="1"/>
  <c r="C66"/>
  <c r="L66" s="1"/>
  <c r="C64"/>
  <c r="E64"/>
  <c r="C63"/>
  <c r="E63" s="1"/>
  <c r="C60"/>
  <c r="E60" s="1"/>
  <c r="F60"/>
  <c r="C59"/>
  <c r="C56"/>
  <c r="C55"/>
  <c r="E55"/>
  <c r="F55" s="1"/>
  <c r="C53"/>
  <c r="C52"/>
  <c r="E52"/>
  <c r="C51"/>
  <c r="C49"/>
  <c r="C48"/>
  <c r="C47"/>
  <c r="C46"/>
  <c r="C45"/>
  <c r="C44"/>
  <c r="C43"/>
  <c r="C41"/>
  <c r="C40"/>
  <c r="C39"/>
  <c r="C38"/>
  <c r="C37"/>
  <c r="E37" s="1"/>
  <c r="F37" s="1"/>
  <c r="C36"/>
  <c r="E36"/>
  <c r="C35"/>
  <c r="E35" s="1"/>
  <c r="F35" s="1"/>
  <c r="C34"/>
  <c r="E34"/>
  <c r="C33"/>
  <c r="E33" s="1"/>
  <c r="F33" s="1"/>
  <c r="C32"/>
  <c r="C31"/>
  <c r="E30"/>
  <c r="G67" i="3"/>
  <c r="G66" s="1"/>
  <c r="G65" s="1"/>
  <c r="G64" s="1"/>
  <c r="E27" i="9"/>
  <c r="E39"/>
  <c r="E74"/>
  <c r="E43"/>
  <c r="E47"/>
  <c r="E52"/>
  <c r="E66"/>
  <c r="E70"/>
  <c r="E82"/>
  <c r="E116"/>
  <c r="E105"/>
  <c r="E103"/>
  <c r="E93"/>
  <c r="E92"/>
  <c r="E18" i="10"/>
  <c r="E21"/>
  <c r="E23"/>
  <c r="E20"/>
  <c r="E16"/>
  <c r="E26"/>
  <c r="E187"/>
  <c r="E195"/>
  <c r="E72"/>
  <c r="E86"/>
  <c r="E109"/>
  <c r="E123"/>
  <c r="E146"/>
  <c r="E160"/>
  <c r="E53"/>
  <c r="E54"/>
  <c r="E52"/>
  <c r="E93"/>
  <c r="E130"/>
  <c r="E166"/>
  <c r="D27" i="9"/>
  <c r="D39"/>
  <c r="D74"/>
  <c r="D43"/>
  <c r="D47"/>
  <c r="D52"/>
  <c r="D66"/>
  <c r="D70"/>
  <c r="D82"/>
  <c r="D116"/>
  <c r="D105"/>
  <c r="D103"/>
  <c r="D93"/>
  <c r="D92"/>
  <c r="D18" i="10"/>
  <c r="D16"/>
  <c r="D21"/>
  <c r="D23"/>
  <c r="D20"/>
  <c r="D26"/>
  <c r="D187"/>
  <c r="D195"/>
  <c r="D72"/>
  <c r="D86"/>
  <c r="D109"/>
  <c r="D123"/>
  <c r="D146"/>
  <c r="D160"/>
  <c r="D53"/>
  <c r="D54"/>
  <c r="D52"/>
  <c r="D93"/>
  <c r="D130"/>
  <c r="D166"/>
  <c r="D181"/>
  <c r="C27" i="9"/>
  <c r="C39"/>
  <c r="C74"/>
  <c r="C43"/>
  <c r="C47"/>
  <c r="C52"/>
  <c r="C66"/>
  <c r="C70"/>
  <c r="C82"/>
  <c r="C116"/>
  <c r="C105"/>
  <c r="C103"/>
  <c r="C93"/>
  <c r="C92"/>
  <c r="C18" i="10"/>
  <c r="C21"/>
  <c r="C23"/>
  <c r="C20"/>
  <c r="C16"/>
  <c r="C26"/>
  <c r="C187"/>
  <c r="C195"/>
  <c r="C72"/>
  <c r="C86"/>
  <c r="C109"/>
  <c r="C123"/>
  <c r="C146"/>
  <c r="C160"/>
  <c r="C53"/>
  <c r="C54"/>
  <c r="C52" s="1"/>
  <c r="C93"/>
  <c r="C130"/>
  <c r="C166"/>
  <c r="G69" i="3"/>
  <c r="H64"/>
  <c r="B194" i="1"/>
  <c r="C10" i="10"/>
  <c r="N10"/>
  <c r="P10"/>
  <c r="P208" i="2"/>
  <c r="P203"/>
  <c r="P197"/>
  <c r="P193"/>
  <c r="P189"/>
  <c r="P184"/>
  <c r="P180"/>
  <c r="P160"/>
  <c r="P156"/>
  <c r="P152"/>
  <c r="P147"/>
  <c r="P143"/>
  <c r="P123"/>
  <c r="P119"/>
  <c r="P115"/>
  <c r="P110"/>
  <c r="P106"/>
  <c r="P86"/>
  <c r="P81"/>
  <c r="P77"/>
  <c r="M130" i="1"/>
  <c r="M129"/>
  <c r="M128"/>
  <c r="M127"/>
  <c r="M126"/>
  <c r="M125" s="1"/>
  <c r="M124"/>
  <c r="M110"/>
  <c r="M109"/>
  <c r="M108"/>
  <c r="M107"/>
  <c r="M106"/>
  <c r="M105"/>
  <c r="M104"/>
  <c r="M103"/>
  <c r="M101"/>
  <c r="M100" s="1"/>
  <c r="M102"/>
  <c r="M89"/>
  <c r="M88"/>
  <c r="S15" i="4"/>
  <c r="S10" s="1"/>
  <c r="S16"/>
  <c r="S17"/>
  <c r="S18"/>
  <c r="S19"/>
  <c r="S20"/>
  <c r="S22"/>
  <c r="S21" s="1"/>
  <c r="S23"/>
  <c r="S24"/>
  <c r="S26"/>
  <c r="S27"/>
  <c r="S33"/>
  <c r="S34"/>
  <c r="S32"/>
  <c r="S36"/>
  <c r="S35" s="1"/>
  <c r="S31"/>
  <c r="S37"/>
  <c r="S38"/>
  <c r="S39"/>
  <c r="S40"/>
  <c r="S41"/>
  <c r="S42"/>
  <c r="S43"/>
  <c r="S30"/>
  <c r="S29" s="1"/>
  <c r="S45"/>
  <c r="S44" s="1"/>
  <c r="S46"/>
  <c r="S47"/>
  <c r="S49"/>
  <c r="S48" s="1"/>
  <c r="S50"/>
  <c r="S51"/>
  <c r="S56"/>
  <c r="S53"/>
  <c r="S52"/>
  <c r="S54"/>
  <c r="S55"/>
  <c r="S58"/>
  <c r="R11"/>
  <c r="R10" s="1"/>
  <c r="E33" i="8" s="1"/>
  <c r="R12" i="4"/>
  <c r="R13"/>
  <c r="R14"/>
  <c r="R15"/>
  <c r="R16"/>
  <c r="R17"/>
  <c r="R18"/>
  <c r="R19"/>
  <c r="R20"/>
  <c r="R22"/>
  <c r="R21" s="1"/>
  <c r="R23"/>
  <c r="R24"/>
  <c r="R26"/>
  <c r="R27"/>
  <c r="R33"/>
  <c r="R34"/>
  <c r="R32"/>
  <c r="R36"/>
  <c r="R35" s="1"/>
  <c r="R31"/>
  <c r="R37"/>
  <c r="R38"/>
  <c r="R39"/>
  <c r="R40"/>
  <c r="R41"/>
  <c r="R42"/>
  <c r="R43"/>
  <c r="R30"/>
  <c r="R29" s="1"/>
  <c r="R45"/>
  <c r="R44" s="1"/>
  <c r="R46"/>
  <c r="R47"/>
  <c r="R49"/>
  <c r="R48" s="1"/>
  <c r="R50"/>
  <c r="R51"/>
  <c r="R56"/>
  <c r="R53"/>
  <c r="R52"/>
  <c r="R54"/>
  <c r="R55"/>
  <c r="R58"/>
  <c r="Q11"/>
  <c r="Q10" s="1"/>
  <c r="Q12"/>
  <c r="Q13"/>
  <c r="Q14"/>
  <c r="Q15"/>
  <c r="Q16"/>
  <c r="Q17"/>
  <c r="Q18"/>
  <c r="Q19"/>
  <c r="Q20"/>
  <c r="Q22"/>
  <c r="Q21" s="1"/>
  <c r="Q23"/>
  <c r="Q24"/>
  <c r="Q26"/>
  <c r="Q27"/>
  <c r="Q33"/>
  <c r="Q34"/>
  <c r="Q32"/>
  <c r="Q36"/>
  <c r="Q35" s="1"/>
  <c r="Q31"/>
  <c r="Q37"/>
  <c r="Q38"/>
  <c r="Q39"/>
  <c r="Q40"/>
  <c r="Q41"/>
  <c r="Q42"/>
  <c r="Q43"/>
  <c r="Q30"/>
  <c r="Q29" s="1"/>
  <c r="Q45"/>
  <c r="Q44" s="1"/>
  <c r="Q46"/>
  <c r="Q47"/>
  <c r="Q49"/>
  <c r="Q48" s="1"/>
  <c r="Q50"/>
  <c r="Q51"/>
  <c r="Q56"/>
  <c r="Q53"/>
  <c r="Q52"/>
  <c r="Q54"/>
  <c r="Q55"/>
  <c r="Q58"/>
  <c r="P58"/>
  <c r="P56"/>
  <c r="P55"/>
  <c r="P54"/>
  <c r="P53"/>
  <c r="P51"/>
  <c r="P50"/>
  <c r="P49"/>
  <c r="P47"/>
  <c r="P46"/>
  <c r="P45"/>
  <c r="P43"/>
  <c r="P42"/>
  <c r="P41"/>
  <c r="P40"/>
  <c r="P39"/>
  <c r="P38"/>
  <c r="P37"/>
  <c r="P36"/>
  <c r="P34"/>
  <c r="P33"/>
  <c r="P30"/>
  <c r="P27"/>
  <c r="P26"/>
  <c r="P24"/>
  <c r="P23"/>
  <c r="P22"/>
  <c r="P20"/>
  <c r="P19"/>
  <c r="P18"/>
  <c r="P17"/>
  <c r="P16"/>
  <c r="P15"/>
  <c r="P14"/>
  <c r="P13"/>
  <c r="P12"/>
  <c r="P11"/>
  <c r="D8"/>
  <c r="C42" i="1"/>
  <c r="L42" s="1"/>
  <c r="C62"/>
  <c r="L62" s="1"/>
  <c r="C74"/>
  <c r="C54"/>
  <c r="L54" s="1"/>
  <c r="C101"/>
  <c r="C100"/>
  <c r="C99" s="1"/>
  <c r="C113"/>
  <c r="C111" s="1"/>
  <c r="C125"/>
  <c r="D42"/>
  <c r="D29"/>
  <c r="D54"/>
  <c r="D62"/>
  <c r="D65"/>
  <c r="D61"/>
  <c r="D58"/>
  <c r="D74"/>
  <c r="D78"/>
  <c r="D82"/>
  <c r="D90"/>
  <c r="D101"/>
  <c r="D100"/>
  <c r="D99"/>
  <c r="D113"/>
  <c r="D111"/>
  <c r="D125"/>
  <c r="E101"/>
  <c r="E100" s="1"/>
  <c r="E99" s="1"/>
  <c r="I99" s="1"/>
  <c r="G42"/>
  <c r="G29"/>
  <c r="G54"/>
  <c r="G62"/>
  <c r="G65"/>
  <c r="G61"/>
  <c r="G58"/>
  <c r="G74"/>
  <c r="G78"/>
  <c r="G57"/>
  <c r="G82"/>
  <c r="G50"/>
  <c r="G90"/>
  <c r="G101"/>
  <c r="G100"/>
  <c r="G99"/>
  <c r="G113"/>
  <c r="G111"/>
  <c r="G125"/>
  <c r="H42"/>
  <c r="H29"/>
  <c r="H54"/>
  <c r="H62"/>
  <c r="K62"/>
  <c r="H65"/>
  <c r="H61"/>
  <c r="H58"/>
  <c r="H74"/>
  <c r="H78"/>
  <c r="H57"/>
  <c r="H82"/>
  <c r="H50"/>
  <c r="H90"/>
  <c r="H101"/>
  <c r="H100"/>
  <c r="H99"/>
  <c r="H113"/>
  <c r="H111"/>
  <c r="H125"/>
  <c r="J42"/>
  <c r="J29"/>
  <c r="J54"/>
  <c r="K54"/>
  <c r="J62"/>
  <c r="J65"/>
  <c r="J58"/>
  <c r="K58"/>
  <c r="J74"/>
  <c r="J78"/>
  <c r="J82"/>
  <c r="J90"/>
  <c r="J101"/>
  <c r="J100"/>
  <c r="J99"/>
  <c r="J113"/>
  <c r="J111"/>
  <c r="J125"/>
  <c r="J87"/>
  <c r="M99"/>
  <c r="I30"/>
  <c r="K30"/>
  <c r="L30"/>
  <c r="K31"/>
  <c r="K32"/>
  <c r="L32"/>
  <c r="I33"/>
  <c r="K33"/>
  <c r="L33"/>
  <c r="K34"/>
  <c r="L34"/>
  <c r="I35"/>
  <c r="K35"/>
  <c r="L35"/>
  <c r="K36"/>
  <c r="L36"/>
  <c r="I37"/>
  <c r="K37"/>
  <c r="L37"/>
  <c r="K39"/>
  <c r="K40"/>
  <c r="K41"/>
  <c r="K42"/>
  <c r="K43"/>
  <c r="K44"/>
  <c r="K45"/>
  <c r="K46"/>
  <c r="K47"/>
  <c r="K48"/>
  <c r="K49"/>
  <c r="K51"/>
  <c r="L52"/>
  <c r="K53"/>
  <c r="I55"/>
  <c r="K55"/>
  <c r="L55"/>
  <c r="K56"/>
  <c r="K59"/>
  <c r="L59"/>
  <c r="I60"/>
  <c r="K60"/>
  <c r="L60"/>
  <c r="I63"/>
  <c r="K63"/>
  <c r="L63"/>
  <c r="K64"/>
  <c r="L64"/>
  <c r="K66"/>
  <c r="F67"/>
  <c r="I67"/>
  <c r="K67"/>
  <c r="L67"/>
  <c r="F68"/>
  <c r="I68"/>
  <c r="K68"/>
  <c r="L68"/>
  <c r="F69"/>
  <c r="I69"/>
  <c r="K69"/>
  <c r="L69"/>
  <c r="F70"/>
  <c r="I70"/>
  <c r="K70"/>
  <c r="L70"/>
  <c r="F71"/>
  <c r="I71"/>
  <c r="K71"/>
  <c r="L71"/>
  <c r="F72"/>
  <c r="I72"/>
  <c r="K72"/>
  <c r="L72"/>
  <c r="F73"/>
  <c r="I73"/>
  <c r="K73"/>
  <c r="L73"/>
  <c r="K74"/>
  <c r="L74"/>
  <c r="F75"/>
  <c r="I75"/>
  <c r="K75"/>
  <c r="L75"/>
  <c r="F76"/>
  <c r="I76"/>
  <c r="K76"/>
  <c r="L76"/>
  <c r="F77"/>
  <c r="I77"/>
  <c r="K77"/>
  <c r="L77"/>
  <c r="K78"/>
  <c r="K79"/>
  <c r="L79"/>
  <c r="F80"/>
  <c r="I80"/>
  <c r="K80"/>
  <c r="L80"/>
  <c r="F81"/>
  <c r="I81"/>
  <c r="K81"/>
  <c r="L81"/>
  <c r="K83"/>
  <c r="L83"/>
  <c r="F84"/>
  <c r="I84"/>
  <c r="K84"/>
  <c r="L84"/>
  <c r="F85"/>
  <c r="L85"/>
  <c r="F86"/>
  <c r="I86"/>
  <c r="K86"/>
  <c r="L86"/>
  <c r="F88"/>
  <c r="I88"/>
  <c r="K88"/>
  <c r="L88"/>
  <c r="F89"/>
  <c r="I89"/>
  <c r="K89"/>
  <c r="L89"/>
  <c r="K90"/>
  <c r="F91"/>
  <c r="I91"/>
  <c r="K91"/>
  <c r="L91"/>
  <c r="F92"/>
  <c r="I92"/>
  <c r="K92"/>
  <c r="L92"/>
  <c r="F93"/>
  <c r="I93"/>
  <c r="K93"/>
  <c r="L93"/>
  <c r="F94"/>
  <c r="I94"/>
  <c r="K94"/>
  <c r="L94"/>
  <c r="F95"/>
  <c r="I95"/>
  <c r="K95"/>
  <c r="L95"/>
  <c r="F96"/>
  <c r="I96"/>
  <c r="K96"/>
  <c r="L96"/>
  <c r="F97"/>
  <c r="I97"/>
  <c r="K97"/>
  <c r="L97"/>
  <c r="F98"/>
  <c r="I98"/>
  <c r="K98"/>
  <c r="L98"/>
  <c r="K99"/>
  <c r="F100"/>
  <c r="K100"/>
  <c r="L100"/>
  <c r="F101"/>
  <c r="K101"/>
  <c r="L101"/>
  <c r="F102"/>
  <c r="I102"/>
  <c r="K102"/>
  <c r="L102"/>
  <c r="F103"/>
  <c r="I103"/>
  <c r="K103"/>
  <c r="L103"/>
  <c r="F104"/>
  <c r="I104"/>
  <c r="K104"/>
  <c r="L104"/>
  <c r="F105"/>
  <c r="I105"/>
  <c r="K105"/>
  <c r="L105"/>
  <c r="F106"/>
  <c r="I106"/>
  <c r="K106"/>
  <c r="L106"/>
  <c r="F107"/>
  <c r="I107"/>
  <c r="K107"/>
  <c r="L107"/>
  <c r="F108"/>
  <c r="I108"/>
  <c r="K108"/>
  <c r="L108"/>
  <c r="F109"/>
  <c r="I109"/>
  <c r="K109"/>
  <c r="L109"/>
  <c r="F110"/>
  <c r="I110"/>
  <c r="K110"/>
  <c r="L110"/>
  <c r="L111"/>
  <c r="F112"/>
  <c r="I112"/>
  <c r="K112"/>
  <c r="L112"/>
  <c r="K113"/>
  <c r="L113"/>
  <c r="F114"/>
  <c r="I114"/>
  <c r="K114"/>
  <c r="L114"/>
  <c r="F115"/>
  <c r="I115"/>
  <c r="K115"/>
  <c r="L115"/>
  <c r="F116"/>
  <c r="I116"/>
  <c r="K116"/>
  <c r="L116"/>
  <c r="F117"/>
  <c r="I117"/>
  <c r="K117"/>
  <c r="L117"/>
  <c r="F118"/>
  <c r="I118"/>
  <c r="K118"/>
  <c r="L118"/>
  <c r="F119"/>
  <c r="I119"/>
  <c r="K119"/>
  <c r="L119"/>
  <c r="F120"/>
  <c r="I120"/>
  <c r="K120"/>
  <c r="L120"/>
  <c r="F121"/>
  <c r="I121"/>
  <c r="L121"/>
  <c r="F122"/>
  <c r="I122"/>
  <c r="K122"/>
  <c r="L122"/>
  <c r="F123"/>
  <c r="I123"/>
  <c r="K123"/>
  <c r="L123"/>
  <c r="F124"/>
  <c r="I124"/>
  <c r="K124"/>
  <c r="L124"/>
  <c r="F125"/>
  <c r="I125"/>
  <c r="K125"/>
  <c r="L125"/>
  <c r="F126"/>
  <c r="I126"/>
  <c r="K126"/>
  <c r="L126"/>
  <c r="F127"/>
  <c r="I127"/>
  <c r="K127"/>
  <c r="L127"/>
  <c r="F128"/>
  <c r="I128"/>
  <c r="K128"/>
  <c r="L128"/>
  <c r="F129"/>
  <c r="I129"/>
  <c r="K129"/>
  <c r="L129"/>
  <c r="F130"/>
  <c r="I130"/>
  <c r="K130"/>
  <c r="L130"/>
  <c r="B182"/>
  <c r="B183"/>
  <c r="B184"/>
  <c r="B185"/>
  <c r="B186"/>
  <c r="B187"/>
  <c r="B188"/>
  <c r="B189"/>
  <c r="F190"/>
  <c r="G190"/>
  <c r="H190"/>
  <c r="I190"/>
  <c r="J190"/>
  <c r="K190"/>
  <c r="A191"/>
  <c r="A192"/>
  <c r="A193"/>
  <c r="A194"/>
  <c r="A195"/>
  <c r="A196"/>
  <c r="A197"/>
  <c r="A198"/>
  <c r="A199"/>
  <c r="A200"/>
  <c r="A201"/>
  <c r="A202"/>
  <c r="A203"/>
  <c r="A204"/>
  <c r="A205"/>
  <c r="A206"/>
  <c r="A207"/>
  <c r="A208" s="1"/>
  <c r="A209" s="1"/>
  <c r="A210" s="1"/>
  <c r="A211" s="1"/>
  <c r="A212" s="1"/>
  <c r="A213" s="1"/>
  <c r="A214" s="1"/>
  <c r="A215" s="1"/>
  <c r="A216" s="1"/>
  <c r="A217" s="1"/>
  <c r="C5" i="2"/>
  <c r="C6"/>
  <c r="C7"/>
  <c r="C8"/>
  <c r="C9"/>
  <c r="C13"/>
  <c r="C14"/>
  <c r="C15"/>
  <c r="F76"/>
  <c r="F27"/>
  <c r="F21"/>
  <c r="F20"/>
  <c r="I10" i="10"/>
  <c r="D77" i="2"/>
  <c r="D78"/>
  <c r="D79"/>
  <c r="D80"/>
  <c r="D81"/>
  <c r="D82"/>
  <c r="D76"/>
  <c r="O76" s="1"/>
  <c r="D84"/>
  <c r="D85"/>
  <c r="D86"/>
  <c r="D87"/>
  <c r="D88"/>
  <c r="D89"/>
  <c r="D83"/>
  <c r="O83" s="1"/>
  <c r="D106"/>
  <c r="D107"/>
  <c r="D108"/>
  <c r="D109"/>
  <c r="D110"/>
  <c r="D111"/>
  <c r="D113"/>
  <c r="D114"/>
  <c r="D115"/>
  <c r="D116"/>
  <c r="D117"/>
  <c r="D118"/>
  <c r="D119"/>
  <c r="D120"/>
  <c r="D121"/>
  <c r="D122"/>
  <c r="D123"/>
  <c r="D124"/>
  <c r="D125"/>
  <c r="D126"/>
  <c r="D112"/>
  <c r="O112" s="1"/>
  <c r="D143"/>
  <c r="D144"/>
  <c r="D145"/>
  <c r="D146"/>
  <c r="D147"/>
  <c r="D148"/>
  <c r="D150"/>
  <c r="D151"/>
  <c r="D152"/>
  <c r="D153"/>
  <c r="D154"/>
  <c r="D155"/>
  <c r="D156"/>
  <c r="D157"/>
  <c r="D158"/>
  <c r="D159"/>
  <c r="D160"/>
  <c r="D161"/>
  <c r="D162"/>
  <c r="D163"/>
  <c r="D180"/>
  <c r="D181"/>
  <c r="D182"/>
  <c r="D183"/>
  <c r="D184"/>
  <c r="D186"/>
  <c r="D187"/>
  <c r="D188"/>
  <c r="D189"/>
  <c r="D190"/>
  <c r="D191"/>
  <c r="D192"/>
  <c r="D193"/>
  <c r="D194"/>
  <c r="D195"/>
  <c r="O195" s="1"/>
  <c r="D196"/>
  <c r="D197"/>
  <c r="O197" s="1"/>
  <c r="D198"/>
  <c r="D199"/>
  <c r="O199" s="1"/>
  <c r="D200"/>
  <c r="D203"/>
  <c r="O203" s="1"/>
  <c r="D204"/>
  <c r="D205"/>
  <c r="O205" s="1"/>
  <c r="D206"/>
  <c r="D208"/>
  <c r="O208" s="1"/>
  <c r="D209"/>
  <c r="D210"/>
  <c r="O210" s="1"/>
  <c r="D225"/>
  <c r="D226"/>
  <c r="D213" s="1"/>
  <c r="D227"/>
  <c r="D233"/>
  <c r="D232"/>
  <c r="E29"/>
  <c r="E36"/>
  <c r="E39"/>
  <c r="E35"/>
  <c r="E27"/>
  <c r="E42"/>
  <c r="E48"/>
  <c r="E52"/>
  <c r="E47"/>
  <c r="E59"/>
  <c r="E58"/>
  <c r="E71"/>
  <c r="E76"/>
  <c r="E83"/>
  <c r="E75"/>
  <c r="E91"/>
  <c r="E105"/>
  <c r="E112"/>
  <c r="E90"/>
  <c r="E128"/>
  <c r="E127"/>
  <c r="E142"/>
  <c r="E149"/>
  <c r="E165"/>
  <c r="E164"/>
  <c r="E179"/>
  <c r="E185"/>
  <c r="E202"/>
  <c r="E207"/>
  <c r="E201"/>
  <c r="E224"/>
  <c r="E232"/>
  <c r="G29"/>
  <c r="G36"/>
  <c r="G39"/>
  <c r="G35"/>
  <c r="G27"/>
  <c r="G42"/>
  <c r="G48"/>
  <c r="G52"/>
  <c r="G47"/>
  <c r="G59"/>
  <c r="G58"/>
  <c r="G71"/>
  <c r="G76"/>
  <c r="G83"/>
  <c r="G75"/>
  <c r="G91"/>
  <c r="G105"/>
  <c r="G112"/>
  <c r="G90"/>
  <c r="G128"/>
  <c r="G127"/>
  <c r="G142"/>
  <c r="G149"/>
  <c r="G165"/>
  <c r="G164"/>
  <c r="G179"/>
  <c r="G185"/>
  <c r="G202"/>
  <c r="G207"/>
  <c r="G201"/>
  <c r="G224"/>
  <c r="G232"/>
  <c r="I29"/>
  <c r="I36"/>
  <c r="I39"/>
  <c r="I35"/>
  <c r="I27"/>
  <c r="I42"/>
  <c r="I48"/>
  <c r="I52"/>
  <c r="I47"/>
  <c r="I46"/>
  <c r="I59"/>
  <c r="I58"/>
  <c r="I71"/>
  <c r="I76"/>
  <c r="I83"/>
  <c r="I91"/>
  <c r="I90"/>
  <c r="I75"/>
  <c r="I74"/>
  <c r="I105"/>
  <c r="I112"/>
  <c r="I128"/>
  <c r="I142"/>
  <c r="I149"/>
  <c r="I127"/>
  <c r="I165"/>
  <c r="I179"/>
  <c r="I185"/>
  <c r="I164"/>
  <c r="I202"/>
  <c r="I207"/>
  <c r="I201"/>
  <c r="I224"/>
  <c r="I232"/>
  <c r="J29"/>
  <c r="L29"/>
  <c r="J36"/>
  <c r="J39"/>
  <c r="J35"/>
  <c r="J42"/>
  <c r="J48"/>
  <c r="J52"/>
  <c r="J47"/>
  <c r="J46"/>
  <c r="J59"/>
  <c r="J58"/>
  <c r="F27" i="6"/>
  <c r="J72" i="2"/>
  <c r="G27" i="6"/>
  <c r="J73" i="2"/>
  <c r="J76"/>
  <c r="J83"/>
  <c r="J91"/>
  <c r="J90"/>
  <c r="J105"/>
  <c r="J112"/>
  <c r="J128"/>
  <c r="J142"/>
  <c r="J149"/>
  <c r="J127"/>
  <c r="J165"/>
  <c r="J179"/>
  <c r="J185"/>
  <c r="J164"/>
  <c r="F38" i="6"/>
  <c r="G38"/>
  <c r="J200" i="2"/>
  <c r="J202"/>
  <c r="J207"/>
  <c r="J201"/>
  <c r="J224"/>
  <c r="J232"/>
  <c r="K29"/>
  <c r="K36"/>
  <c r="K39"/>
  <c r="K35"/>
  <c r="K27"/>
  <c r="K42"/>
  <c r="K48"/>
  <c r="K52"/>
  <c r="K47"/>
  <c r="K59"/>
  <c r="K58"/>
  <c r="H27" i="6"/>
  <c r="K72" i="2"/>
  <c r="I27" i="6"/>
  <c r="K73" i="2"/>
  <c r="K71" s="1"/>
  <c r="K76"/>
  <c r="K83"/>
  <c r="K75"/>
  <c r="K91"/>
  <c r="K105"/>
  <c r="K112"/>
  <c r="K90"/>
  <c r="K128"/>
  <c r="K127"/>
  <c r="K142"/>
  <c r="K149"/>
  <c r="K165"/>
  <c r="K164"/>
  <c r="K179"/>
  <c r="K185"/>
  <c r="H38" i="6"/>
  <c r="I38"/>
  <c r="K200" i="2"/>
  <c r="K202"/>
  <c r="K207"/>
  <c r="K201"/>
  <c r="K224"/>
  <c r="K232"/>
  <c r="M29"/>
  <c r="M36"/>
  <c r="M39"/>
  <c r="M35"/>
  <c r="M27"/>
  <c r="M42"/>
  <c r="M48"/>
  <c r="M52"/>
  <c r="M47"/>
  <c r="M59"/>
  <c r="M58"/>
  <c r="N58"/>
  <c r="M71"/>
  <c r="M76"/>
  <c r="M83"/>
  <c r="M75"/>
  <c r="M91"/>
  <c r="M105"/>
  <c r="M112"/>
  <c r="M90"/>
  <c r="M128"/>
  <c r="M127"/>
  <c r="N127"/>
  <c r="M142"/>
  <c r="M149"/>
  <c r="M165"/>
  <c r="M164"/>
  <c r="N164"/>
  <c r="M179"/>
  <c r="M185"/>
  <c r="M202"/>
  <c r="M207"/>
  <c r="M201"/>
  <c r="M224"/>
  <c r="M232"/>
  <c r="H28"/>
  <c r="L28"/>
  <c r="N28"/>
  <c r="F29"/>
  <c r="H29"/>
  <c r="N29"/>
  <c r="H30"/>
  <c r="L30"/>
  <c r="N30"/>
  <c r="H31"/>
  <c r="L31"/>
  <c r="N31"/>
  <c r="H32"/>
  <c r="L32"/>
  <c r="N32"/>
  <c r="H33"/>
  <c r="L33"/>
  <c r="N33"/>
  <c r="H34"/>
  <c r="L34"/>
  <c r="N34"/>
  <c r="F35"/>
  <c r="H35"/>
  <c r="F36"/>
  <c r="H36"/>
  <c r="L36"/>
  <c r="N36"/>
  <c r="H37"/>
  <c r="L37"/>
  <c r="N37"/>
  <c r="H38"/>
  <c r="L38"/>
  <c r="N38"/>
  <c r="F39"/>
  <c r="H39"/>
  <c r="L39"/>
  <c r="H40"/>
  <c r="L40"/>
  <c r="N40"/>
  <c r="H41"/>
  <c r="L41"/>
  <c r="N41"/>
  <c r="F42"/>
  <c r="H42"/>
  <c r="L42"/>
  <c r="N42"/>
  <c r="H43"/>
  <c r="L43"/>
  <c r="N43"/>
  <c r="H44"/>
  <c r="L44"/>
  <c r="N44"/>
  <c r="H45"/>
  <c r="L45"/>
  <c r="N45"/>
  <c r="F46"/>
  <c r="F47"/>
  <c r="F75"/>
  <c r="F127"/>
  <c r="F165"/>
  <c r="F164"/>
  <c r="F74"/>
  <c r="F48"/>
  <c r="H48"/>
  <c r="L48"/>
  <c r="N48"/>
  <c r="H49"/>
  <c r="L49"/>
  <c r="N49"/>
  <c r="H50"/>
  <c r="L50"/>
  <c r="N50"/>
  <c r="H51"/>
  <c r="L51"/>
  <c r="N51"/>
  <c r="F52"/>
  <c r="H52"/>
  <c r="L52"/>
  <c r="H53"/>
  <c r="L53"/>
  <c r="N53"/>
  <c r="H54"/>
  <c r="L54"/>
  <c r="N54"/>
  <c r="H55"/>
  <c r="L55"/>
  <c r="N55"/>
  <c r="H56"/>
  <c r="L56"/>
  <c r="N56"/>
  <c r="H57"/>
  <c r="L57"/>
  <c r="N57"/>
  <c r="F58"/>
  <c r="F59"/>
  <c r="H59"/>
  <c r="L59"/>
  <c r="H60"/>
  <c r="L60"/>
  <c r="N60"/>
  <c r="H61"/>
  <c r="L61"/>
  <c r="N61"/>
  <c r="H62"/>
  <c r="L62"/>
  <c r="N62"/>
  <c r="H63"/>
  <c r="L63"/>
  <c r="N63"/>
  <c r="H64"/>
  <c r="L64"/>
  <c r="N64"/>
  <c r="H65"/>
  <c r="L65"/>
  <c r="N65"/>
  <c r="H66"/>
  <c r="L66"/>
  <c r="N66"/>
  <c r="H68"/>
  <c r="L68"/>
  <c r="N68"/>
  <c r="H70"/>
  <c r="L70"/>
  <c r="N70"/>
  <c r="H71"/>
  <c r="H72"/>
  <c r="H73"/>
  <c r="H76"/>
  <c r="L76"/>
  <c r="N76"/>
  <c r="H77"/>
  <c r="L77"/>
  <c r="N77"/>
  <c r="O77"/>
  <c r="H78"/>
  <c r="L78"/>
  <c r="N78"/>
  <c r="O78"/>
  <c r="H79"/>
  <c r="L79"/>
  <c r="N79"/>
  <c r="O79"/>
  <c r="H80"/>
  <c r="L80"/>
  <c r="N80"/>
  <c r="O80"/>
  <c r="H81"/>
  <c r="L81"/>
  <c r="N81"/>
  <c r="O81"/>
  <c r="H82"/>
  <c r="L82"/>
  <c r="N82"/>
  <c r="O82"/>
  <c r="H83"/>
  <c r="L83"/>
  <c r="N83"/>
  <c r="H84"/>
  <c r="L84"/>
  <c r="N84"/>
  <c r="O84"/>
  <c r="H85"/>
  <c r="L85"/>
  <c r="N85"/>
  <c r="O85"/>
  <c r="H86"/>
  <c r="L86"/>
  <c r="N86"/>
  <c r="O86"/>
  <c r="H87"/>
  <c r="L87"/>
  <c r="N87"/>
  <c r="O87"/>
  <c r="H88"/>
  <c r="L88"/>
  <c r="N88"/>
  <c r="O88"/>
  <c r="H89"/>
  <c r="L89"/>
  <c r="N89"/>
  <c r="O89"/>
  <c r="H90"/>
  <c r="H91"/>
  <c r="L91"/>
  <c r="N91"/>
  <c r="H92"/>
  <c r="L92"/>
  <c r="N92"/>
  <c r="H93"/>
  <c r="L93"/>
  <c r="N93"/>
  <c r="H94"/>
  <c r="L94"/>
  <c r="N94"/>
  <c r="H95"/>
  <c r="L95"/>
  <c r="N95"/>
  <c r="H96"/>
  <c r="L96"/>
  <c r="N96"/>
  <c r="H97"/>
  <c r="L97"/>
  <c r="N97"/>
  <c r="H98"/>
  <c r="L98"/>
  <c r="N98"/>
  <c r="H99"/>
  <c r="L99"/>
  <c r="N99"/>
  <c r="H100"/>
  <c r="L100"/>
  <c r="N100"/>
  <c r="H101"/>
  <c r="L101"/>
  <c r="N101"/>
  <c r="H102"/>
  <c r="L102"/>
  <c r="N102"/>
  <c r="H103"/>
  <c r="L103"/>
  <c r="N103"/>
  <c r="H104"/>
  <c r="L104"/>
  <c r="N104"/>
  <c r="F112"/>
  <c r="F105"/>
  <c r="H105"/>
  <c r="L105"/>
  <c r="N105"/>
  <c r="H106"/>
  <c r="L106"/>
  <c r="N106"/>
  <c r="O106"/>
  <c r="H107"/>
  <c r="L107"/>
  <c r="N107"/>
  <c r="O107"/>
  <c r="H108"/>
  <c r="L108"/>
  <c r="N108"/>
  <c r="O108"/>
  <c r="H109"/>
  <c r="L109"/>
  <c r="N109"/>
  <c r="O109"/>
  <c r="H110"/>
  <c r="L110"/>
  <c r="N110"/>
  <c r="O110"/>
  <c r="H111"/>
  <c r="L111"/>
  <c r="N111"/>
  <c r="O111"/>
  <c r="H112"/>
  <c r="L112"/>
  <c r="N112"/>
  <c r="H113"/>
  <c r="L113"/>
  <c r="N113"/>
  <c r="O113"/>
  <c r="H114"/>
  <c r="L114"/>
  <c r="N114"/>
  <c r="O114"/>
  <c r="H115"/>
  <c r="L115"/>
  <c r="N115"/>
  <c r="O115"/>
  <c r="H116"/>
  <c r="L116"/>
  <c r="N116"/>
  <c r="O116"/>
  <c r="H117"/>
  <c r="L117"/>
  <c r="N117"/>
  <c r="O117"/>
  <c r="H118"/>
  <c r="L118"/>
  <c r="N118"/>
  <c r="O118"/>
  <c r="H119"/>
  <c r="L119"/>
  <c r="N119"/>
  <c r="O119"/>
  <c r="H120"/>
  <c r="L120"/>
  <c r="N120"/>
  <c r="O120"/>
  <c r="H121"/>
  <c r="L121"/>
  <c r="N121"/>
  <c r="O121"/>
  <c r="H122"/>
  <c r="L122"/>
  <c r="N122"/>
  <c r="O122"/>
  <c r="H123"/>
  <c r="L123"/>
  <c r="N123"/>
  <c r="O123"/>
  <c r="H124"/>
  <c r="L124"/>
  <c r="N124"/>
  <c r="O124"/>
  <c r="H125"/>
  <c r="L125"/>
  <c r="N125"/>
  <c r="O125"/>
  <c r="H126"/>
  <c r="L126"/>
  <c r="N126"/>
  <c r="O126"/>
  <c r="F128"/>
  <c r="H128"/>
  <c r="L128"/>
  <c r="N128"/>
  <c r="H129"/>
  <c r="L129"/>
  <c r="N129"/>
  <c r="H130"/>
  <c r="L130"/>
  <c r="N130"/>
  <c r="H131"/>
  <c r="L131"/>
  <c r="N131"/>
  <c r="H132"/>
  <c r="L132"/>
  <c r="N132"/>
  <c r="H133"/>
  <c r="L133"/>
  <c r="N133"/>
  <c r="H134"/>
  <c r="L134"/>
  <c r="N134"/>
  <c r="H135"/>
  <c r="L135"/>
  <c r="N135"/>
  <c r="H136"/>
  <c r="L136"/>
  <c r="N136"/>
  <c r="H137"/>
  <c r="L137"/>
  <c r="N137"/>
  <c r="H138"/>
  <c r="L138"/>
  <c r="N138"/>
  <c r="H139"/>
  <c r="L139"/>
  <c r="N139"/>
  <c r="H140"/>
  <c r="L140"/>
  <c r="N140"/>
  <c r="H141"/>
  <c r="L141"/>
  <c r="N141"/>
  <c r="F142"/>
  <c r="H142"/>
  <c r="L142"/>
  <c r="N142"/>
  <c r="H143"/>
  <c r="L143"/>
  <c r="N143"/>
  <c r="O143"/>
  <c r="H144"/>
  <c r="L144"/>
  <c r="N144"/>
  <c r="O144"/>
  <c r="H145"/>
  <c r="L145"/>
  <c r="N145"/>
  <c r="O145"/>
  <c r="H146"/>
  <c r="L146"/>
  <c r="N146"/>
  <c r="O146"/>
  <c r="H147"/>
  <c r="L147"/>
  <c r="N147"/>
  <c r="O147"/>
  <c r="H148"/>
  <c r="L148"/>
  <c r="N148"/>
  <c r="O148"/>
  <c r="F149"/>
  <c r="H149"/>
  <c r="L149"/>
  <c r="N149"/>
  <c r="H150"/>
  <c r="L150"/>
  <c r="N150"/>
  <c r="O150"/>
  <c r="H151"/>
  <c r="L151"/>
  <c r="N151"/>
  <c r="O151"/>
  <c r="H152"/>
  <c r="L152"/>
  <c r="N152"/>
  <c r="O152"/>
  <c r="H153"/>
  <c r="L153"/>
  <c r="N153"/>
  <c r="O153"/>
  <c r="H154"/>
  <c r="L154"/>
  <c r="N154"/>
  <c r="O154"/>
  <c r="H155"/>
  <c r="L155"/>
  <c r="N155"/>
  <c r="O155"/>
  <c r="H156"/>
  <c r="L156"/>
  <c r="N156"/>
  <c r="O156"/>
  <c r="H157"/>
  <c r="L157"/>
  <c r="N157"/>
  <c r="O157"/>
  <c r="H158"/>
  <c r="L158"/>
  <c r="N158"/>
  <c r="O158"/>
  <c r="H159"/>
  <c r="L159"/>
  <c r="N159"/>
  <c r="O159"/>
  <c r="H160"/>
  <c r="L160"/>
  <c r="N160"/>
  <c r="O160"/>
  <c r="H161"/>
  <c r="L161"/>
  <c r="N161"/>
  <c r="O161"/>
  <c r="H162"/>
  <c r="L162"/>
  <c r="N162"/>
  <c r="O162"/>
  <c r="H163"/>
  <c r="L163"/>
  <c r="N163"/>
  <c r="O163"/>
  <c r="H165"/>
  <c r="L165"/>
  <c r="N165"/>
  <c r="H166"/>
  <c r="L166"/>
  <c r="N166"/>
  <c r="H167"/>
  <c r="L167"/>
  <c r="N167"/>
  <c r="H168"/>
  <c r="L168"/>
  <c r="N168"/>
  <c r="H169"/>
  <c r="L169"/>
  <c r="N169"/>
  <c r="H170"/>
  <c r="L170"/>
  <c r="N170"/>
  <c r="H171"/>
  <c r="L171"/>
  <c r="N171"/>
  <c r="H172"/>
  <c r="L172"/>
  <c r="N172"/>
  <c r="H173"/>
  <c r="L173"/>
  <c r="N173"/>
  <c r="H174"/>
  <c r="L174"/>
  <c r="N174"/>
  <c r="H175"/>
  <c r="L175"/>
  <c r="N175"/>
  <c r="H176"/>
  <c r="L176"/>
  <c r="N176"/>
  <c r="H177"/>
  <c r="L177"/>
  <c r="N177"/>
  <c r="H178"/>
  <c r="L178"/>
  <c r="N178"/>
  <c r="F179"/>
  <c r="H179"/>
  <c r="L179"/>
  <c r="N179"/>
  <c r="H180"/>
  <c r="L180"/>
  <c r="N180"/>
  <c r="O180"/>
  <c r="H181"/>
  <c r="L181"/>
  <c r="N181"/>
  <c r="O181"/>
  <c r="H182"/>
  <c r="L182"/>
  <c r="N182"/>
  <c r="O182"/>
  <c r="H183"/>
  <c r="L183"/>
  <c r="N183"/>
  <c r="O183"/>
  <c r="H184"/>
  <c r="L184"/>
  <c r="N184"/>
  <c r="O184"/>
  <c r="F185"/>
  <c r="H185"/>
  <c r="L185"/>
  <c r="N185"/>
  <c r="H186"/>
  <c r="L186"/>
  <c r="N186"/>
  <c r="O186"/>
  <c r="H187"/>
  <c r="L187"/>
  <c r="N187"/>
  <c r="O187"/>
  <c r="H188"/>
  <c r="L188"/>
  <c r="N188"/>
  <c r="O188"/>
  <c r="H189"/>
  <c r="L189"/>
  <c r="N189"/>
  <c r="O189"/>
  <c r="H190"/>
  <c r="L190"/>
  <c r="N190"/>
  <c r="O190"/>
  <c r="H191"/>
  <c r="L191"/>
  <c r="N191"/>
  <c r="O191"/>
  <c r="H192"/>
  <c r="L192"/>
  <c r="N192"/>
  <c r="O192"/>
  <c r="H193"/>
  <c r="L193"/>
  <c r="N193"/>
  <c r="O193"/>
  <c r="H194"/>
  <c r="L194"/>
  <c r="N194"/>
  <c r="O194"/>
  <c r="H195"/>
  <c r="L195"/>
  <c r="N195"/>
  <c r="H196"/>
  <c r="L196"/>
  <c r="N196"/>
  <c r="O196"/>
  <c r="H197"/>
  <c r="L197"/>
  <c r="N197"/>
  <c r="H198"/>
  <c r="L198"/>
  <c r="N198"/>
  <c r="O198"/>
  <c r="H199"/>
  <c r="L199"/>
  <c r="N199"/>
  <c r="H200"/>
  <c r="F201"/>
  <c r="F202"/>
  <c r="H202"/>
  <c r="L202"/>
  <c r="N202"/>
  <c r="H203"/>
  <c r="L203"/>
  <c r="N203"/>
  <c r="H204"/>
  <c r="L204"/>
  <c r="N204"/>
  <c r="O204"/>
  <c r="H205"/>
  <c r="L205"/>
  <c r="N205"/>
  <c r="H206"/>
  <c r="L206"/>
  <c r="N206"/>
  <c r="O206"/>
  <c r="F207"/>
  <c r="H207"/>
  <c r="L207"/>
  <c r="N207"/>
  <c r="H208"/>
  <c r="L208"/>
  <c r="N208"/>
  <c r="H209"/>
  <c r="L209"/>
  <c r="N209"/>
  <c r="O209"/>
  <c r="H210"/>
  <c r="L210"/>
  <c r="N210"/>
  <c r="A211"/>
  <c r="B211"/>
  <c r="C211"/>
  <c r="E211"/>
  <c r="F211"/>
  <c r="G211"/>
  <c r="H224"/>
  <c r="H211"/>
  <c r="I211"/>
  <c r="J211"/>
  <c r="K211"/>
  <c r="L224"/>
  <c r="L211"/>
  <c r="M211"/>
  <c r="N224"/>
  <c r="N211"/>
  <c r="A212"/>
  <c r="B212"/>
  <c r="C212"/>
  <c r="D212"/>
  <c r="E212"/>
  <c r="F212"/>
  <c r="G212"/>
  <c r="H225"/>
  <c r="H212"/>
  <c r="I212"/>
  <c r="J212"/>
  <c r="K212"/>
  <c r="L225"/>
  <c r="L212"/>
  <c r="M212"/>
  <c r="N225"/>
  <c r="N212"/>
  <c r="O225"/>
  <c r="O212"/>
  <c r="A213"/>
  <c r="B213"/>
  <c r="C213"/>
  <c r="E213"/>
  <c r="F213"/>
  <c r="G213"/>
  <c r="H226"/>
  <c r="H213"/>
  <c r="I213"/>
  <c r="J213"/>
  <c r="K213"/>
  <c r="L226"/>
  <c r="L213"/>
  <c r="M213"/>
  <c r="N226"/>
  <c r="N213"/>
  <c r="A214"/>
  <c r="B214"/>
  <c r="C214"/>
  <c r="D214"/>
  <c r="E214"/>
  <c r="F214"/>
  <c r="G214"/>
  <c r="H227"/>
  <c r="H214"/>
  <c r="I214"/>
  <c r="J214"/>
  <c r="K214"/>
  <c r="L227"/>
  <c r="L214"/>
  <c r="M214"/>
  <c r="N227"/>
  <c r="N214"/>
  <c r="O227"/>
  <c r="O214" s="1"/>
  <c r="A215"/>
  <c r="B215"/>
  <c r="C215"/>
  <c r="E215"/>
  <c r="F215"/>
  <c r="G215"/>
  <c r="H232"/>
  <c r="H215"/>
  <c r="I215"/>
  <c r="J215"/>
  <c r="K215"/>
  <c r="L232"/>
  <c r="L215"/>
  <c r="M215"/>
  <c r="N232"/>
  <c r="N215"/>
  <c r="A216"/>
  <c r="B216"/>
  <c r="C216"/>
  <c r="E216"/>
  <c r="F216"/>
  <c r="G216"/>
  <c r="H233"/>
  <c r="H216"/>
  <c r="I216"/>
  <c r="J216"/>
  <c r="K216"/>
  <c r="L233"/>
  <c r="L216"/>
  <c r="M216"/>
  <c r="N233"/>
  <c r="N216"/>
  <c r="F218"/>
  <c r="F219"/>
  <c r="F228"/>
  <c r="F234"/>
  <c r="H234"/>
  <c r="L234"/>
  <c r="N234"/>
  <c r="O234"/>
  <c r="F235"/>
  <c r="H235"/>
  <c r="L235"/>
  <c r="N235"/>
  <c r="O235"/>
  <c r="F236"/>
  <c r="F237"/>
  <c r="C9" i="3"/>
  <c r="G9"/>
  <c r="G124" s="1"/>
  <c r="H9"/>
  <c r="I9"/>
  <c r="I124" s="1"/>
  <c r="J9"/>
  <c r="K9"/>
  <c r="K124" s="1"/>
  <c r="L9"/>
  <c r="M9"/>
  <c r="M124" s="1"/>
  <c r="N9"/>
  <c r="O9"/>
  <c r="O124" s="1"/>
  <c r="A11"/>
  <c r="C17"/>
  <c r="C13" s="1"/>
  <c r="C18"/>
  <c r="C19"/>
  <c r="E19" s="1"/>
  <c r="C21"/>
  <c r="C22"/>
  <c r="C20" s="1"/>
  <c r="C24"/>
  <c r="C26"/>
  <c r="C27"/>
  <c r="C25" s="1"/>
  <c r="E29" s="1"/>
  <c r="C28"/>
  <c r="C29"/>
  <c r="C30"/>
  <c r="C52"/>
  <c r="C53"/>
  <c r="C54"/>
  <c r="C55"/>
  <c r="E55" s="1"/>
  <c r="C56"/>
  <c r="C57"/>
  <c r="C58"/>
  <c r="C51"/>
  <c r="E53" s="1"/>
  <c r="A12"/>
  <c r="C67"/>
  <c r="C66" s="1"/>
  <c r="C65" s="1"/>
  <c r="C64" s="1"/>
  <c r="C70"/>
  <c r="C69"/>
  <c r="A13"/>
  <c r="A14"/>
  <c r="B14"/>
  <c r="A15"/>
  <c r="B15"/>
  <c r="A17"/>
  <c r="B17"/>
  <c r="A18"/>
  <c r="B18"/>
  <c r="A19"/>
  <c r="A20"/>
  <c r="A22"/>
  <c r="A23"/>
  <c r="A24"/>
  <c r="B24"/>
  <c r="A25"/>
  <c r="A26"/>
  <c r="B26"/>
  <c r="A27"/>
  <c r="B27"/>
  <c r="A28"/>
  <c r="B28"/>
  <c r="A29"/>
  <c r="A30"/>
  <c r="B30"/>
  <c r="A31"/>
  <c r="C35"/>
  <c r="C37"/>
  <c r="C38"/>
  <c r="C39"/>
  <c r="C36" s="1"/>
  <c r="E45" s="1"/>
  <c r="C40"/>
  <c r="C41"/>
  <c r="C42"/>
  <c r="C43"/>
  <c r="E43" s="1"/>
  <c r="C44"/>
  <c r="C45"/>
  <c r="C47"/>
  <c r="C46"/>
  <c r="E47" s="1"/>
  <c r="C48"/>
  <c r="C60"/>
  <c r="C68"/>
  <c r="A33"/>
  <c r="A34"/>
  <c r="B34"/>
  <c r="A35"/>
  <c r="B35"/>
  <c r="A36"/>
  <c r="B37"/>
  <c r="A43"/>
  <c r="A44"/>
  <c r="A45"/>
  <c r="A49"/>
  <c r="A51"/>
  <c r="A52"/>
  <c r="A53"/>
  <c r="A54"/>
  <c r="A55"/>
  <c r="A56"/>
  <c r="A57"/>
  <c r="A58"/>
  <c r="A61"/>
  <c r="A65"/>
  <c r="A66"/>
  <c r="A69"/>
  <c r="A71"/>
  <c r="B71"/>
  <c r="D71"/>
  <c r="E71"/>
  <c r="F71"/>
  <c r="A72"/>
  <c r="B72"/>
  <c r="D72"/>
  <c r="E72"/>
  <c r="F72"/>
  <c r="A73"/>
  <c r="B73"/>
  <c r="C73"/>
  <c r="D73"/>
  <c r="E73"/>
  <c r="F73"/>
  <c r="G73"/>
  <c r="H73"/>
  <c r="I73"/>
  <c r="J73"/>
  <c r="K73"/>
  <c r="L73"/>
  <c r="M73"/>
  <c r="N73"/>
  <c r="O73"/>
  <c r="A74"/>
  <c r="B74"/>
  <c r="D74"/>
  <c r="E74"/>
  <c r="F74"/>
  <c r="A75"/>
  <c r="B75"/>
  <c r="D75"/>
  <c r="E75"/>
  <c r="F75"/>
  <c r="A76"/>
  <c r="B76"/>
  <c r="D76"/>
  <c r="E76"/>
  <c r="F76"/>
  <c r="G95"/>
  <c r="C124"/>
  <c r="H124"/>
  <c r="J124"/>
  <c r="L124"/>
  <c r="N124"/>
  <c r="N11" i="4"/>
  <c r="K11" s="1"/>
  <c r="F11" s="1"/>
  <c r="N12"/>
  <c r="K12"/>
  <c r="N13"/>
  <c r="K13"/>
  <c r="F13" s="1"/>
  <c r="N14"/>
  <c r="K14" s="1"/>
  <c r="F14" s="1"/>
  <c r="N15"/>
  <c r="K15"/>
  <c r="F15" s="1"/>
  <c r="N16"/>
  <c r="K16" s="1"/>
  <c r="F16" s="1"/>
  <c r="N17"/>
  <c r="K17"/>
  <c r="F17" s="1"/>
  <c r="N18"/>
  <c r="K18" s="1"/>
  <c r="F18" s="1"/>
  <c r="N19"/>
  <c r="K19"/>
  <c r="F19" s="1"/>
  <c r="N20"/>
  <c r="K20" s="1"/>
  <c r="F20" s="1"/>
  <c r="N22"/>
  <c r="K22"/>
  <c r="F22" s="1"/>
  <c r="N23"/>
  <c r="K23" s="1"/>
  <c r="N24"/>
  <c r="K24" s="1"/>
  <c r="F24" s="1"/>
  <c r="N26"/>
  <c r="K26"/>
  <c r="F26" s="1"/>
  <c r="N27"/>
  <c r="K27" s="1"/>
  <c r="F27" s="1"/>
  <c r="N33"/>
  <c r="K33"/>
  <c r="N34"/>
  <c r="K34"/>
  <c r="F34" s="1"/>
  <c r="N36"/>
  <c r="K36" s="1"/>
  <c r="F36" s="1"/>
  <c r="N37"/>
  <c r="K37"/>
  <c r="N38"/>
  <c r="K38"/>
  <c r="F38" s="1"/>
  <c r="N39"/>
  <c r="K39" s="1"/>
  <c r="F39" s="1"/>
  <c r="N40"/>
  <c r="K40"/>
  <c r="F40" s="1"/>
  <c r="N41"/>
  <c r="K41" s="1"/>
  <c r="F41" s="1"/>
  <c r="N42"/>
  <c r="K42"/>
  <c r="F42" s="1"/>
  <c r="N43"/>
  <c r="K43" s="1"/>
  <c r="F43" s="1"/>
  <c r="N30"/>
  <c r="K30"/>
  <c r="F30" s="1"/>
  <c r="F29" s="1"/>
  <c r="N45"/>
  <c r="K45"/>
  <c r="F45" s="1"/>
  <c r="N46"/>
  <c r="K46" s="1"/>
  <c r="N47"/>
  <c r="K47" s="1"/>
  <c r="F47" s="1"/>
  <c r="N49"/>
  <c r="K49"/>
  <c r="F49" s="1"/>
  <c r="N50"/>
  <c r="K50" s="1"/>
  <c r="N51"/>
  <c r="K51" s="1"/>
  <c r="F51" s="1"/>
  <c r="N56"/>
  <c r="K56"/>
  <c r="F56" s="1"/>
  <c r="N53"/>
  <c r="K53" s="1"/>
  <c r="F53" s="1"/>
  <c r="N54"/>
  <c r="K54"/>
  <c r="N55"/>
  <c r="K55"/>
  <c r="F55" s="1"/>
  <c r="N58"/>
  <c r="K58" s="1"/>
  <c r="F58" s="1"/>
  <c r="P21"/>
  <c r="P10"/>
  <c r="C90" i="8" s="1"/>
  <c r="P32" i="4"/>
  <c r="P35"/>
  <c r="P31" s="1"/>
  <c r="P28" s="1"/>
  <c r="P25" s="1"/>
  <c r="P29"/>
  <c r="P44"/>
  <c r="P48"/>
  <c r="P52"/>
  <c r="M72"/>
  <c r="F72"/>
  <c r="E40" i="7" s="1"/>
  <c r="J74" i="4"/>
  <c r="J75"/>
  <c r="J73"/>
  <c r="M77"/>
  <c r="F77"/>
  <c r="P71"/>
  <c r="P72"/>
  <c r="C31" i="10"/>
  <c r="C35"/>
  <c r="C30"/>
  <c r="C29"/>
  <c r="C42"/>
  <c r="C41"/>
  <c r="P76" i="4"/>
  <c r="P77"/>
  <c r="Q72"/>
  <c r="D31" i="10"/>
  <c r="D35"/>
  <c r="D30"/>
  <c r="D29"/>
  <c r="Q73" i="4"/>
  <c r="D39" i="8" s="1"/>
  <c r="D42" i="10"/>
  <c r="D41"/>
  <c r="Q76" i="4"/>
  <c r="Q77"/>
  <c r="R71"/>
  <c r="R72"/>
  <c r="E31" i="10"/>
  <c r="E35"/>
  <c r="E30"/>
  <c r="E29"/>
  <c r="E42"/>
  <c r="E41"/>
  <c r="R76" i="4"/>
  <c r="R77"/>
  <c r="S71"/>
  <c r="S70" s="1"/>
  <c r="S72"/>
  <c r="S73"/>
  <c r="S76"/>
  <c r="S77"/>
  <c r="G126" i="3"/>
  <c r="H126"/>
  <c r="G128"/>
  <c r="D230"/>
  <c r="D229"/>
  <c r="E229"/>
  <c r="C130"/>
  <c r="D211"/>
  <c r="D209"/>
  <c r="D208"/>
  <c r="E208"/>
  <c r="D221"/>
  <c r="D214"/>
  <c r="D217"/>
  <c r="D215"/>
  <c r="D216"/>
  <c r="E215"/>
  <c r="D222"/>
  <c r="E221"/>
  <c r="D228"/>
  <c r="D224"/>
  <c r="D223"/>
  <c r="E222"/>
  <c r="E228"/>
  <c r="G132"/>
  <c r="H132"/>
  <c r="I132"/>
  <c r="J132"/>
  <c r="F55" i="6"/>
  <c r="F4"/>
  <c r="F3"/>
  <c r="F2"/>
  <c r="F58"/>
  <c r="F5"/>
  <c r="F61"/>
  <c r="F6"/>
  <c r="F64"/>
  <c r="F7"/>
  <c r="F67"/>
  <c r="F8"/>
  <c r="F70"/>
  <c r="F9"/>
  <c r="F73"/>
  <c r="F10"/>
  <c r="F76"/>
  <c r="F11"/>
  <c r="F79"/>
  <c r="F12"/>
  <c r="F82"/>
  <c r="F13"/>
  <c r="C136" i="3"/>
  <c r="G136"/>
  <c r="H136"/>
  <c r="I136"/>
  <c r="J136"/>
  <c r="K136"/>
  <c r="C137"/>
  <c r="G137"/>
  <c r="H137"/>
  <c r="I137"/>
  <c r="J137"/>
  <c r="K137"/>
  <c r="L137"/>
  <c r="M137"/>
  <c r="N137"/>
  <c r="O137"/>
  <c r="C139"/>
  <c r="C140"/>
  <c r="C138"/>
  <c r="C145" s="1"/>
  <c r="G138"/>
  <c r="H138"/>
  <c r="I138"/>
  <c r="J138"/>
  <c r="G139"/>
  <c r="H139"/>
  <c r="I139"/>
  <c r="J139"/>
  <c r="K139"/>
  <c r="L139"/>
  <c r="M139"/>
  <c r="N139"/>
  <c r="O139"/>
  <c r="G140"/>
  <c r="H140"/>
  <c r="I140"/>
  <c r="J140"/>
  <c r="K140"/>
  <c r="L140"/>
  <c r="M140"/>
  <c r="N140"/>
  <c r="O140"/>
  <c r="C141"/>
  <c r="G141"/>
  <c r="H141"/>
  <c r="J141"/>
  <c r="K141"/>
  <c r="L141"/>
  <c r="M141"/>
  <c r="N141"/>
  <c r="O141"/>
  <c r="C142"/>
  <c r="G142"/>
  <c r="H142"/>
  <c r="I142"/>
  <c r="J142"/>
  <c r="K142"/>
  <c r="L142"/>
  <c r="M142"/>
  <c r="N142"/>
  <c r="O142"/>
  <c r="D33" i="5"/>
  <c r="C143" i="3"/>
  <c r="L143"/>
  <c r="C144"/>
  <c r="L144"/>
  <c r="E209"/>
  <c r="D210"/>
  <c r="E210"/>
  <c r="E211"/>
  <c r="D212"/>
  <c r="E212"/>
  <c r="D213"/>
  <c r="E213"/>
  <c r="E214"/>
  <c r="E216"/>
  <c r="E217"/>
  <c r="D218"/>
  <c r="E218"/>
  <c r="D219"/>
  <c r="E219"/>
  <c r="D220"/>
  <c r="E220"/>
  <c r="E223"/>
  <c r="E224"/>
  <c r="D225"/>
  <c r="E225"/>
  <c r="D226"/>
  <c r="E226"/>
  <c r="D227"/>
  <c r="E227"/>
  <c r="E230"/>
  <c r="D231"/>
  <c r="E231"/>
  <c r="E232"/>
  <c r="D233"/>
  <c r="E233"/>
  <c r="E234"/>
  <c r="A9" i="4"/>
  <c r="L11"/>
  <c r="I11"/>
  <c r="L12"/>
  <c r="I12"/>
  <c r="D12" s="1"/>
  <c r="L13"/>
  <c r="I13" s="1"/>
  <c r="D13" s="1"/>
  <c r="L14"/>
  <c r="I14"/>
  <c r="D14" s="1"/>
  <c r="L15"/>
  <c r="I15" s="1"/>
  <c r="D15" s="1"/>
  <c r="L16"/>
  <c r="I16"/>
  <c r="D16" s="1"/>
  <c r="L17"/>
  <c r="I17" s="1"/>
  <c r="D17" s="1"/>
  <c r="L18"/>
  <c r="I18"/>
  <c r="D18" s="1"/>
  <c r="L19"/>
  <c r="I19" s="1"/>
  <c r="D19" s="1"/>
  <c r="L20"/>
  <c r="I20"/>
  <c r="D20" s="1"/>
  <c r="L22"/>
  <c r="I22" s="1"/>
  <c r="L23"/>
  <c r="I23" s="1"/>
  <c r="D23" s="1"/>
  <c r="L24"/>
  <c r="I24"/>
  <c r="D24" s="1"/>
  <c r="L26"/>
  <c r="I26" s="1"/>
  <c r="D26" s="1"/>
  <c r="L33"/>
  <c r="I33"/>
  <c r="L34"/>
  <c r="I34"/>
  <c r="D34" s="1"/>
  <c r="L36"/>
  <c r="I36" s="1"/>
  <c r="D36" s="1"/>
  <c r="L37"/>
  <c r="I37"/>
  <c r="D37" s="1"/>
  <c r="L38"/>
  <c r="I38" s="1"/>
  <c r="D38" s="1"/>
  <c r="L39"/>
  <c r="I39"/>
  <c r="D39" s="1"/>
  <c r="L40"/>
  <c r="I40" s="1"/>
  <c r="D40" s="1"/>
  <c r="L41"/>
  <c r="I41"/>
  <c r="D41" s="1"/>
  <c r="L42"/>
  <c r="I42" s="1"/>
  <c r="D42" s="1"/>
  <c r="L43"/>
  <c r="I43"/>
  <c r="D43" s="1"/>
  <c r="L30"/>
  <c r="I30" s="1"/>
  <c r="D30" s="1"/>
  <c r="D29" s="1"/>
  <c r="L45"/>
  <c r="I45" s="1"/>
  <c r="D45" s="1"/>
  <c r="L46"/>
  <c r="I46"/>
  <c r="L47"/>
  <c r="I47"/>
  <c r="D47" s="1"/>
  <c r="L49"/>
  <c r="I49" s="1"/>
  <c r="D49" s="1"/>
  <c r="L50"/>
  <c r="I50"/>
  <c r="D50" s="1"/>
  <c r="L51"/>
  <c r="I51" s="1"/>
  <c r="D51" s="1"/>
  <c r="L56"/>
  <c r="I56"/>
  <c r="D56" s="1"/>
  <c r="L53"/>
  <c r="I53" s="1"/>
  <c r="D53" s="1"/>
  <c r="L54"/>
  <c r="I54"/>
  <c r="D54" s="1"/>
  <c r="L55"/>
  <c r="I55" s="1"/>
  <c r="D55" s="1"/>
  <c r="L27"/>
  <c r="I27"/>
  <c r="D27" s="1"/>
  <c r="L58"/>
  <c r="I58" s="1"/>
  <c r="D58" s="1"/>
  <c r="M11"/>
  <c r="J11"/>
  <c r="E11" s="1"/>
  <c r="M13"/>
  <c r="J13" s="1"/>
  <c r="E13" s="1"/>
  <c r="M14"/>
  <c r="J14"/>
  <c r="E14" s="1"/>
  <c r="M15"/>
  <c r="J15" s="1"/>
  <c r="E15" s="1"/>
  <c r="M16"/>
  <c r="J16"/>
  <c r="E16" s="1"/>
  <c r="M17"/>
  <c r="J17" s="1"/>
  <c r="E17" s="1"/>
  <c r="M27"/>
  <c r="J27"/>
  <c r="E27" s="1"/>
  <c r="M33"/>
  <c r="J33" s="1"/>
  <c r="M34"/>
  <c r="J34" s="1"/>
  <c r="E34" s="1"/>
  <c r="M37"/>
  <c r="J37"/>
  <c r="E37" s="1"/>
  <c r="M38"/>
  <c r="J38" s="1"/>
  <c r="E38" s="1"/>
  <c r="M39"/>
  <c r="J39"/>
  <c r="E39" s="1"/>
  <c r="M40"/>
  <c r="J40" s="1"/>
  <c r="E40" s="1"/>
  <c r="M41"/>
  <c r="J41"/>
  <c r="E41" s="1"/>
  <c r="M42"/>
  <c r="J42" s="1"/>
  <c r="E42" s="1"/>
  <c r="M43"/>
  <c r="J43"/>
  <c r="E43" s="1"/>
  <c r="M45"/>
  <c r="J45" s="1"/>
  <c r="E45" s="1"/>
  <c r="M46"/>
  <c r="J46"/>
  <c r="M47"/>
  <c r="J47"/>
  <c r="E47" s="1"/>
  <c r="M50"/>
  <c r="J50" s="1"/>
  <c r="E50" s="1"/>
  <c r="M51"/>
  <c r="J51"/>
  <c r="E51" s="1"/>
  <c r="M56"/>
  <c r="J56" s="1"/>
  <c r="E56" s="1"/>
  <c r="M54"/>
  <c r="J54"/>
  <c r="E54" s="1"/>
  <c r="M55"/>
  <c r="J55" s="1"/>
  <c r="E55" s="1"/>
  <c r="M58"/>
  <c r="J58"/>
  <c r="E58" s="1"/>
  <c r="K29"/>
  <c r="A10"/>
  <c r="N10"/>
  <c r="A11"/>
  <c r="A12"/>
  <c r="A13"/>
  <c r="A14"/>
  <c r="A15"/>
  <c r="A16"/>
  <c r="A17"/>
  <c r="A18"/>
  <c r="A19"/>
  <c r="A20"/>
  <c r="A21"/>
  <c r="L21"/>
  <c r="N21"/>
  <c r="A22"/>
  <c r="A23"/>
  <c r="A24"/>
  <c r="A25"/>
  <c r="N25"/>
  <c r="A26"/>
  <c r="A27"/>
  <c r="A28"/>
  <c r="N28"/>
  <c r="A29"/>
  <c r="N29"/>
  <c r="A30"/>
  <c r="A31"/>
  <c r="N31"/>
  <c r="A32"/>
  <c r="L32"/>
  <c r="N32"/>
  <c r="A33"/>
  <c r="A34"/>
  <c r="A35"/>
  <c r="N35"/>
  <c r="A36"/>
  <c r="A37"/>
  <c r="A38"/>
  <c r="A39"/>
  <c r="A40"/>
  <c r="A41"/>
  <c r="A42"/>
  <c r="A43"/>
  <c r="A44"/>
  <c r="L44"/>
  <c r="N44"/>
  <c r="A45"/>
  <c r="A46"/>
  <c r="A47"/>
  <c r="A48"/>
  <c r="N48"/>
  <c r="A49"/>
  <c r="A50"/>
  <c r="A51"/>
  <c r="A52"/>
  <c r="N52"/>
  <c r="A53"/>
  <c r="A54"/>
  <c r="A55"/>
  <c r="A56"/>
  <c r="A57"/>
  <c r="A58"/>
  <c r="P69"/>
  <c r="Q69"/>
  <c r="R69"/>
  <c r="S69"/>
  <c r="T69"/>
  <c r="U69"/>
  <c r="V69"/>
  <c r="W69"/>
  <c r="X69"/>
  <c r="Y69"/>
  <c r="Z69"/>
  <c r="AA69"/>
  <c r="AB69"/>
  <c r="AC69"/>
  <c r="A70"/>
  <c r="L72"/>
  <c r="E72"/>
  <c r="D40" i="7" s="1"/>
  <c r="I74" i="4"/>
  <c r="I75"/>
  <c r="I73"/>
  <c r="I70" s="1"/>
  <c r="L76"/>
  <c r="I76"/>
  <c r="E76"/>
  <c r="D42" i="7" s="1"/>
  <c r="D128"/>
  <c r="L77" i="4"/>
  <c r="E77"/>
  <c r="A71"/>
  <c r="A72"/>
  <c r="A73"/>
  <c r="A74"/>
  <c r="A75"/>
  <c r="A76"/>
  <c r="E9" i="5"/>
  <c r="E59" s="1"/>
  <c r="E11"/>
  <c r="E15"/>
  <c r="E26"/>
  <c r="E27"/>
  <c r="E31"/>
  <c r="E32"/>
  <c r="E30"/>
  <c r="E34"/>
  <c r="E35"/>
  <c r="E33"/>
  <c r="E42"/>
  <c r="E64"/>
  <c r="E63" i="11"/>
  <c r="E37" i="5"/>
  <c r="E38"/>
  <c r="E39"/>
  <c r="D42"/>
  <c r="D64"/>
  <c r="D63" i="11"/>
  <c r="G42" i="5"/>
  <c r="G64"/>
  <c r="H42"/>
  <c r="I42"/>
  <c r="I64" s="1"/>
  <c r="J42"/>
  <c r="J64" s="1"/>
  <c r="K42"/>
  <c r="K64"/>
  <c r="N42"/>
  <c r="O42"/>
  <c r="O64" s="1"/>
  <c r="C56"/>
  <c r="G57"/>
  <c r="C58"/>
  <c r="D58"/>
  <c r="E58"/>
  <c r="G58"/>
  <c r="H58"/>
  <c r="I58"/>
  <c r="J58"/>
  <c r="K58"/>
  <c r="L58"/>
  <c r="M58"/>
  <c r="N58"/>
  <c r="O58"/>
  <c r="C59"/>
  <c r="D59"/>
  <c r="G59"/>
  <c r="H59"/>
  <c r="I59"/>
  <c r="J59"/>
  <c r="K59"/>
  <c r="C63"/>
  <c r="D63"/>
  <c r="G63"/>
  <c r="H63"/>
  <c r="I63"/>
  <c r="J63"/>
  <c r="C64"/>
  <c r="H64"/>
  <c r="L64"/>
  <c r="M64"/>
  <c r="N64"/>
  <c r="C55" i="6"/>
  <c r="C4"/>
  <c r="C58"/>
  <c r="C5"/>
  <c r="C61"/>
  <c r="C6"/>
  <c r="C64"/>
  <c r="C7"/>
  <c r="C67"/>
  <c r="C8"/>
  <c r="C70"/>
  <c r="C9"/>
  <c r="C73"/>
  <c r="C10"/>
  <c r="C76"/>
  <c r="C11"/>
  <c r="C79"/>
  <c r="C12"/>
  <c r="C82"/>
  <c r="C13"/>
  <c r="D55"/>
  <c r="D4"/>
  <c r="D58"/>
  <c r="D5"/>
  <c r="D61"/>
  <c r="D6"/>
  <c r="D64"/>
  <c r="D7"/>
  <c r="D67"/>
  <c r="D8"/>
  <c r="D70"/>
  <c r="D9"/>
  <c r="D73"/>
  <c r="D10"/>
  <c r="D76"/>
  <c r="D11"/>
  <c r="D79"/>
  <c r="D12"/>
  <c r="D82"/>
  <c r="D13"/>
  <c r="E55"/>
  <c r="E4"/>
  <c r="E58"/>
  <c r="E5"/>
  <c r="E61"/>
  <c r="E6"/>
  <c r="E64"/>
  <c r="E7"/>
  <c r="E67"/>
  <c r="E8"/>
  <c r="E70"/>
  <c r="E9"/>
  <c r="E73"/>
  <c r="E10"/>
  <c r="E76"/>
  <c r="E11"/>
  <c r="E79"/>
  <c r="E12"/>
  <c r="E82"/>
  <c r="E13"/>
  <c r="C25"/>
  <c r="D25"/>
  <c r="E25"/>
  <c r="F25"/>
  <c r="G25"/>
  <c r="H25"/>
  <c r="I25"/>
  <c r="F26"/>
  <c r="G26"/>
  <c r="H26"/>
  <c r="I26"/>
  <c r="C27"/>
  <c r="D27"/>
  <c r="E27"/>
  <c r="C38"/>
  <c r="D38"/>
  <c r="E38"/>
  <c r="C52"/>
  <c r="D52"/>
  <c r="E52"/>
  <c r="F52"/>
  <c r="G52"/>
  <c r="H52"/>
  <c r="I52"/>
  <c r="J52"/>
  <c r="K52"/>
  <c r="L52"/>
  <c r="M52"/>
  <c r="N52"/>
  <c r="O52"/>
  <c r="P52"/>
  <c r="Q52"/>
  <c r="C54"/>
  <c r="E54"/>
  <c r="F54"/>
  <c r="G54"/>
  <c r="H54"/>
  <c r="I54"/>
  <c r="J54"/>
  <c r="K54"/>
  <c r="L54"/>
  <c r="M54"/>
  <c r="N54"/>
  <c r="O54"/>
  <c r="P54"/>
  <c r="Q54"/>
  <c r="C85"/>
  <c r="D85"/>
  <c r="E85"/>
  <c r="F85"/>
  <c r="G85"/>
  <c r="H85"/>
  <c r="I85"/>
  <c r="J85"/>
  <c r="K85"/>
  <c r="L85"/>
  <c r="M85"/>
  <c r="N85"/>
  <c r="O85"/>
  <c r="P85"/>
  <c r="Q85"/>
  <c r="C7" i="7"/>
  <c r="C8"/>
  <c r="C9"/>
  <c r="C10"/>
  <c r="C11"/>
  <c r="C15"/>
  <c r="C16"/>
  <c r="C17"/>
  <c r="D19"/>
  <c r="D20"/>
  <c r="D21"/>
  <c r="C44"/>
  <c r="C46"/>
  <c r="C54"/>
  <c r="G54" s="1"/>
  <c r="C62"/>
  <c r="C69"/>
  <c r="C76"/>
  <c r="C25"/>
  <c r="C128"/>
  <c r="C131"/>
  <c r="G131" s="1"/>
  <c r="C135"/>
  <c r="G135" s="1"/>
  <c r="C144"/>
  <c r="C148"/>
  <c r="D44"/>
  <c r="D45"/>
  <c r="D46"/>
  <c r="D53"/>
  <c r="D54"/>
  <c r="D52" s="1"/>
  <c r="D61"/>
  <c r="D62"/>
  <c r="D60"/>
  <c r="D68"/>
  <c r="D69"/>
  <c r="D67"/>
  <c r="D75"/>
  <c r="D76"/>
  <c r="D74" s="1"/>
  <c r="D106"/>
  <c r="D107"/>
  <c r="D109"/>
  <c r="D108"/>
  <c r="D129"/>
  <c r="D130"/>
  <c r="D131"/>
  <c r="D132"/>
  <c r="D133"/>
  <c r="D134"/>
  <c r="D135"/>
  <c r="D136"/>
  <c r="D137"/>
  <c r="D144"/>
  <c r="D145"/>
  <c r="D143"/>
  <c r="D146"/>
  <c r="D147"/>
  <c r="D148"/>
  <c r="D149"/>
  <c r="D150"/>
  <c r="D151"/>
  <c r="E44"/>
  <c r="E45"/>
  <c r="E46"/>
  <c r="G46" s="1"/>
  <c r="E53"/>
  <c r="F53" s="1"/>
  <c r="E54"/>
  <c r="E52"/>
  <c r="E61"/>
  <c r="E62"/>
  <c r="E68"/>
  <c r="E69"/>
  <c r="E67"/>
  <c r="E75"/>
  <c r="E76"/>
  <c r="E106"/>
  <c r="E107"/>
  <c r="E105"/>
  <c r="E109"/>
  <c r="E108"/>
  <c r="E128"/>
  <c r="E129"/>
  <c r="E130"/>
  <c r="E131"/>
  <c r="E132"/>
  <c r="E133"/>
  <c r="E134"/>
  <c r="F134" s="1"/>
  <c r="E135"/>
  <c r="E136"/>
  <c r="E137"/>
  <c r="E144"/>
  <c r="F144" s="1"/>
  <c r="E145"/>
  <c r="E146"/>
  <c r="E147"/>
  <c r="E148"/>
  <c r="F148" s="1"/>
  <c r="E149"/>
  <c r="E150"/>
  <c r="E151"/>
  <c r="E143"/>
  <c r="F143" s="1"/>
  <c r="C34"/>
  <c r="A152" i="9"/>
  <c r="A148"/>
  <c r="D94" i="7"/>
  <c r="A149" i="9"/>
  <c r="A150"/>
  <c r="A151"/>
  <c r="C186" i="7"/>
  <c r="C51"/>
  <c r="C50" s="1"/>
  <c r="C59"/>
  <c r="C66"/>
  <c r="C65"/>
  <c r="C73"/>
  <c r="C72"/>
  <c r="C85"/>
  <c r="C93"/>
  <c r="C95"/>
  <c r="C98"/>
  <c r="C100"/>
  <c r="C101"/>
  <c r="C102"/>
  <c r="C103"/>
  <c r="C117"/>
  <c r="C125"/>
  <c r="D34"/>
  <c r="D189"/>
  <c r="D59"/>
  <c r="D66"/>
  <c r="D65" s="1"/>
  <c r="D73"/>
  <c r="D72" s="1"/>
  <c r="D77"/>
  <c r="D123"/>
  <c r="D93"/>
  <c r="D99"/>
  <c r="D95"/>
  <c r="D97"/>
  <c r="D100"/>
  <c r="D101"/>
  <c r="D102"/>
  <c r="D103"/>
  <c r="D120"/>
  <c r="D125"/>
  <c r="F125" s="1"/>
  <c r="E34"/>
  <c r="G34"/>
  <c r="E186"/>
  <c r="E188"/>
  <c r="E51"/>
  <c r="E50"/>
  <c r="G50" s="1"/>
  <c r="E58"/>
  <c r="E59"/>
  <c r="E57" s="1"/>
  <c r="E66"/>
  <c r="E65" s="1"/>
  <c r="E73"/>
  <c r="E85"/>
  <c r="G85" s="1"/>
  <c r="E93"/>
  <c r="E94"/>
  <c r="E98"/>
  <c r="G98" s="1"/>
  <c r="E95"/>
  <c r="F95"/>
  <c r="E97"/>
  <c r="F97" s="1"/>
  <c r="E100"/>
  <c r="F100" s="1"/>
  <c r="E101"/>
  <c r="G101" s="1"/>
  <c r="E102"/>
  <c r="F102"/>
  <c r="E103"/>
  <c r="F103" s="1"/>
  <c r="E117"/>
  <c r="G117" s="1"/>
  <c r="E119"/>
  <c r="E125"/>
  <c r="A29"/>
  <c r="F34"/>
  <c r="A37"/>
  <c r="A39"/>
  <c r="A40"/>
  <c r="A41"/>
  <c r="A42"/>
  <c r="A44"/>
  <c r="F44"/>
  <c r="A45"/>
  <c r="F45"/>
  <c r="A46"/>
  <c r="F46"/>
  <c r="G51"/>
  <c r="F54"/>
  <c r="F61"/>
  <c r="G66"/>
  <c r="F69"/>
  <c r="G69"/>
  <c r="D70"/>
  <c r="F75"/>
  <c r="G76"/>
  <c r="G93"/>
  <c r="G95"/>
  <c r="G100"/>
  <c r="G102"/>
  <c r="G103"/>
  <c r="F106"/>
  <c r="F109"/>
  <c r="G125"/>
  <c r="F131"/>
  <c r="F132"/>
  <c r="F133"/>
  <c r="F135"/>
  <c r="F136"/>
  <c r="F137"/>
  <c r="G144"/>
  <c r="F145"/>
  <c r="F146"/>
  <c r="F147"/>
  <c r="G148"/>
  <c r="F149"/>
  <c r="F150"/>
  <c r="F151"/>
  <c r="C178"/>
  <c r="D178"/>
  <c r="E178"/>
  <c r="C7" i="8"/>
  <c r="C8"/>
  <c r="C9"/>
  <c r="C10"/>
  <c r="C11"/>
  <c r="C15"/>
  <c r="C16"/>
  <c r="C17"/>
  <c r="C19"/>
  <c r="H19"/>
  <c r="H20"/>
  <c r="C28"/>
  <c r="C29"/>
  <c r="C30"/>
  <c r="C31"/>
  <c r="C32"/>
  <c r="C33"/>
  <c r="C49"/>
  <c r="C48" s="1"/>
  <c r="C59"/>
  <c r="C60"/>
  <c r="C58"/>
  <c r="C67"/>
  <c r="C66"/>
  <c r="C75"/>
  <c r="C74"/>
  <c r="C85"/>
  <c r="C86"/>
  <c r="C87"/>
  <c r="C88"/>
  <c r="C89"/>
  <c r="C13" i="9"/>
  <c r="C84" i="8"/>
  <c r="C92"/>
  <c r="C93"/>
  <c r="C46" i="9"/>
  <c r="C42"/>
  <c r="C35"/>
  <c r="C127" i="8"/>
  <c r="C95" s="1"/>
  <c r="C97"/>
  <c r="C98"/>
  <c r="C99"/>
  <c r="C100"/>
  <c r="C91" i="9"/>
  <c r="C101" i="8"/>
  <c r="C96"/>
  <c r="C102"/>
  <c r="C103"/>
  <c r="C104"/>
  <c r="C105"/>
  <c r="C106"/>
  <c r="C107"/>
  <c r="C121"/>
  <c r="C122"/>
  <c r="C123"/>
  <c r="C124"/>
  <c r="C125"/>
  <c r="C126"/>
  <c r="C128"/>
  <c r="C129"/>
  <c r="D28"/>
  <c r="D29"/>
  <c r="D30"/>
  <c r="D31"/>
  <c r="D32"/>
  <c r="D49"/>
  <c r="D48" s="1"/>
  <c r="D59"/>
  <c r="D60"/>
  <c r="D58"/>
  <c r="D67"/>
  <c r="D66"/>
  <c r="D75"/>
  <c r="D74" s="1"/>
  <c r="D85"/>
  <c r="D84" s="1"/>
  <c r="D86"/>
  <c r="D87"/>
  <c r="D88"/>
  <c r="D89"/>
  <c r="D13" i="9"/>
  <c r="D92" i="8"/>
  <c r="D93"/>
  <c r="D46" i="9"/>
  <c r="D42"/>
  <c r="D35"/>
  <c r="D127" i="8"/>
  <c r="D97"/>
  <c r="D98"/>
  <c r="D99"/>
  <c r="D100"/>
  <c r="D91" i="9"/>
  <c r="D101" i="8"/>
  <c r="D102"/>
  <c r="D103"/>
  <c r="D104"/>
  <c r="D105"/>
  <c r="D106"/>
  <c r="D107"/>
  <c r="D121"/>
  <c r="D122"/>
  <c r="D123"/>
  <c r="D124"/>
  <c r="D125"/>
  <c r="D126"/>
  <c r="D128"/>
  <c r="D129"/>
  <c r="E28"/>
  <c r="E27" s="1"/>
  <c r="E29"/>
  <c r="E30"/>
  <c r="E31"/>
  <c r="E32"/>
  <c r="E49"/>
  <c r="E48"/>
  <c r="E59"/>
  <c r="E60"/>
  <c r="E58" s="1"/>
  <c r="E67"/>
  <c r="E66" s="1"/>
  <c r="E75"/>
  <c r="E74" s="1"/>
  <c r="E85"/>
  <c r="E84" s="1"/>
  <c r="E86"/>
  <c r="E87"/>
  <c r="E88"/>
  <c r="E89"/>
  <c r="E13" i="9"/>
  <c r="E90" i="8"/>
  <c r="E92"/>
  <c r="E93"/>
  <c r="E46" i="9"/>
  <c r="E42"/>
  <c r="E35"/>
  <c r="E127" i="8"/>
  <c r="E97"/>
  <c r="E98"/>
  <c r="E99"/>
  <c r="E100"/>
  <c r="E91" i="9"/>
  <c r="E101" i="8"/>
  <c r="E102"/>
  <c r="E103"/>
  <c r="E104"/>
  <c r="E105"/>
  <c r="E106"/>
  <c r="E107"/>
  <c r="E121"/>
  <c r="E122"/>
  <c r="E123"/>
  <c r="E124"/>
  <c r="E125"/>
  <c r="E126"/>
  <c r="E128"/>
  <c r="E129"/>
  <c r="F28"/>
  <c r="F29"/>
  <c r="F30"/>
  <c r="F31"/>
  <c r="F27" s="1"/>
  <c r="F32"/>
  <c r="F33"/>
  <c r="F59"/>
  <c r="F58"/>
  <c r="F13" i="9"/>
  <c r="F42"/>
  <c r="F35"/>
  <c r="F12"/>
  <c r="F11"/>
  <c r="F121" i="8"/>
  <c r="F122"/>
  <c r="F123"/>
  <c r="F124"/>
  <c r="F125"/>
  <c r="F126"/>
  <c r="F128"/>
  <c r="F129"/>
  <c r="G28"/>
  <c r="G29"/>
  <c r="G30"/>
  <c r="G31"/>
  <c r="G27" s="1"/>
  <c r="G32"/>
  <c r="G33"/>
  <c r="G59"/>
  <c r="G58"/>
  <c r="G66"/>
  <c r="G85"/>
  <c r="G86"/>
  <c r="G87"/>
  <c r="G88"/>
  <c r="G89"/>
  <c r="G13" i="9"/>
  <c r="G84" i="8"/>
  <c r="G127"/>
  <c r="G98"/>
  <c r="G99"/>
  <c r="G100"/>
  <c r="G101"/>
  <c r="G102"/>
  <c r="G103"/>
  <c r="G104"/>
  <c r="G105"/>
  <c r="G106"/>
  <c r="G107"/>
  <c r="G96"/>
  <c r="G121"/>
  <c r="G122"/>
  <c r="G123"/>
  <c r="G124"/>
  <c r="G125"/>
  <c r="G126"/>
  <c r="G128"/>
  <c r="G129"/>
  <c r="H28"/>
  <c r="H29"/>
  <c r="H30"/>
  <c r="H31"/>
  <c r="H32"/>
  <c r="H33"/>
  <c r="H35"/>
  <c r="H34" s="1"/>
  <c r="H130" s="1"/>
  <c r="H59"/>
  <c r="H58"/>
  <c r="H66"/>
  <c r="H85"/>
  <c r="H84" s="1"/>
  <c r="H86"/>
  <c r="H87"/>
  <c r="H88"/>
  <c r="H89"/>
  <c r="H127"/>
  <c r="H98"/>
  <c r="H99"/>
  <c r="H96" s="1"/>
  <c r="H100"/>
  <c r="H101"/>
  <c r="H102"/>
  <c r="H103"/>
  <c r="H104"/>
  <c r="H105"/>
  <c r="H106"/>
  <c r="H107"/>
  <c r="H121"/>
  <c r="H122"/>
  <c r="H123"/>
  <c r="H124"/>
  <c r="H125"/>
  <c r="H126"/>
  <c r="H128"/>
  <c r="H129"/>
  <c r="I28"/>
  <c r="I29"/>
  <c r="I30"/>
  <c r="I31"/>
  <c r="I32"/>
  <c r="I35"/>
  <c r="I59"/>
  <c r="I58" s="1"/>
  <c r="I66"/>
  <c r="I85"/>
  <c r="I86"/>
  <c r="I87"/>
  <c r="I88"/>
  <c r="I89"/>
  <c r="I127"/>
  <c r="I98"/>
  <c r="I99"/>
  <c r="I100"/>
  <c r="I101"/>
  <c r="I103"/>
  <c r="I104"/>
  <c r="I106"/>
  <c r="I107"/>
  <c r="I121"/>
  <c r="I122"/>
  <c r="I123"/>
  <c r="I124"/>
  <c r="I125"/>
  <c r="I126"/>
  <c r="I128"/>
  <c r="I129"/>
  <c r="J28"/>
  <c r="J29"/>
  <c r="J30"/>
  <c r="J31"/>
  <c r="J32"/>
  <c r="J35"/>
  <c r="J59"/>
  <c r="J58"/>
  <c r="J66"/>
  <c r="J85"/>
  <c r="J86"/>
  <c r="J87"/>
  <c r="J88"/>
  <c r="J89"/>
  <c r="J84"/>
  <c r="J35" i="9"/>
  <c r="J127" i="8"/>
  <c r="J99"/>
  <c r="J100"/>
  <c r="J101"/>
  <c r="J103"/>
  <c r="J106"/>
  <c r="J107"/>
  <c r="J121"/>
  <c r="J122"/>
  <c r="J120" s="1"/>
  <c r="J123"/>
  <c r="J124"/>
  <c r="J126"/>
  <c r="J128"/>
  <c r="J129"/>
  <c r="K28"/>
  <c r="K27" s="1"/>
  <c r="K26" s="1"/>
  <c r="K29"/>
  <c r="K30"/>
  <c r="K31"/>
  <c r="K32"/>
  <c r="K35"/>
  <c r="K59"/>
  <c r="K58" s="1"/>
  <c r="K66"/>
  <c r="K85"/>
  <c r="K86"/>
  <c r="K87"/>
  <c r="K84" s="1"/>
  <c r="K88"/>
  <c r="K89"/>
  <c r="K127"/>
  <c r="K99"/>
  <c r="K100"/>
  <c r="K103"/>
  <c r="K106"/>
  <c r="K107"/>
  <c r="K121"/>
  <c r="K122"/>
  <c r="K123"/>
  <c r="K124"/>
  <c r="K126"/>
  <c r="K128"/>
  <c r="K129"/>
  <c r="L28"/>
  <c r="L29"/>
  <c r="L30"/>
  <c r="L31"/>
  <c r="L32"/>
  <c r="L66"/>
  <c r="L85"/>
  <c r="L86"/>
  <c r="L87"/>
  <c r="L88"/>
  <c r="L89"/>
  <c r="L127"/>
  <c r="L99"/>
  <c r="L100"/>
  <c r="L103"/>
  <c r="L106"/>
  <c r="L107"/>
  <c r="L121"/>
  <c r="L120" s="1"/>
  <c r="L122"/>
  <c r="L123"/>
  <c r="L126"/>
  <c r="L128"/>
  <c r="L129"/>
  <c r="M31"/>
  <c r="M32"/>
  <c r="M66"/>
  <c r="M88"/>
  <c r="M89"/>
  <c r="M99"/>
  <c r="M103"/>
  <c r="M106"/>
  <c r="M107"/>
  <c r="M121"/>
  <c r="M122"/>
  <c r="M126"/>
  <c r="M128"/>
  <c r="M129"/>
  <c r="N31"/>
  <c r="N32"/>
  <c r="N66"/>
  <c r="N88"/>
  <c r="N89"/>
  <c r="N99"/>
  <c r="N103"/>
  <c r="N106"/>
  <c r="N107"/>
  <c r="N121"/>
  <c r="N122"/>
  <c r="N120" s="1"/>
  <c r="N126"/>
  <c r="N128"/>
  <c r="N129"/>
  <c r="O31"/>
  <c r="O32"/>
  <c r="O66"/>
  <c r="O88"/>
  <c r="O89"/>
  <c r="O99"/>
  <c r="O103"/>
  <c r="O106"/>
  <c r="O107"/>
  <c r="O121"/>
  <c r="O122"/>
  <c r="O126"/>
  <c r="O128"/>
  <c r="O129"/>
  <c r="P31"/>
  <c r="P32"/>
  <c r="P66"/>
  <c r="P88"/>
  <c r="P89"/>
  <c r="P99"/>
  <c r="P106"/>
  <c r="P107"/>
  <c r="P121"/>
  <c r="P120" s="1"/>
  <c r="P122"/>
  <c r="P128"/>
  <c r="P129"/>
  <c r="Q28"/>
  <c r="Q29"/>
  <c r="Q27"/>
  <c r="Q30"/>
  <c r="Q31"/>
  <c r="Q32"/>
  <c r="Q33"/>
  <c r="Q35"/>
  <c r="Q59"/>
  <c r="Q58"/>
  <c r="Q66"/>
  <c r="Q85"/>
  <c r="Q84" s="1"/>
  <c r="Q86"/>
  <c r="Q87"/>
  <c r="Q88"/>
  <c r="Q89"/>
  <c r="Q127"/>
  <c r="Q98"/>
  <c r="Q99"/>
  <c r="Q100"/>
  <c r="Q101"/>
  <c r="Q102"/>
  <c r="Q103"/>
  <c r="Q104"/>
  <c r="Q105"/>
  <c r="Q106"/>
  <c r="Q107"/>
  <c r="Q96"/>
  <c r="Q121"/>
  <c r="Q122"/>
  <c r="Q123"/>
  <c r="Q124"/>
  <c r="Q125"/>
  <c r="Q126"/>
  <c r="Q128"/>
  <c r="Q129"/>
  <c r="C37"/>
  <c r="C38"/>
  <c r="C40"/>
  <c r="C42"/>
  <c r="C43"/>
  <c r="C44"/>
  <c r="C41"/>
  <c r="C54"/>
  <c r="C55"/>
  <c r="C53" s="1"/>
  <c r="C62"/>
  <c r="C63"/>
  <c r="C61"/>
  <c r="C70"/>
  <c r="C71"/>
  <c r="C69" s="1"/>
  <c r="C72" s="1"/>
  <c r="C79"/>
  <c r="C80"/>
  <c r="C78" s="1"/>
  <c r="C110"/>
  <c r="C111"/>
  <c r="C109"/>
  <c r="C108" s="1"/>
  <c r="C113"/>
  <c r="C112" s="1"/>
  <c r="C132"/>
  <c r="C133"/>
  <c r="C134"/>
  <c r="C135"/>
  <c r="C131" s="1"/>
  <c r="C136"/>
  <c r="C137"/>
  <c r="C138"/>
  <c r="C139"/>
  <c r="C140"/>
  <c r="C141"/>
  <c r="C148"/>
  <c r="C149"/>
  <c r="C150"/>
  <c r="C151"/>
  <c r="C152"/>
  <c r="C153"/>
  <c r="C154"/>
  <c r="C155"/>
  <c r="C183" i="10"/>
  <c r="C182"/>
  <c r="C160" i="8"/>
  <c r="D38"/>
  <c r="D40"/>
  <c r="D42"/>
  <c r="D43"/>
  <c r="D44"/>
  <c r="D41" s="1"/>
  <c r="D54"/>
  <c r="D55"/>
  <c r="D53" s="1"/>
  <c r="D62"/>
  <c r="D63"/>
  <c r="D61"/>
  <c r="D70"/>
  <c r="D71"/>
  <c r="D69" s="1"/>
  <c r="D79"/>
  <c r="D80"/>
  <c r="D78"/>
  <c r="D110"/>
  <c r="D111"/>
  <c r="D109" s="1"/>
  <c r="D113"/>
  <c r="D112"/>
  <c r="D108" s="1"/>
  <c r="D132"/>
  <c r="D133"/>
  <c r="D134"/>
  <c r="D135"/>
  <c r="D136"/>
  <c r="D137"/>
  <c r="D138"/>
  <c r="D139"/>
  <c r="D140"/>
  <c r="D141"/>
  <c r="D148"/>
  <c r="D149"/>
  <c r="D150"/>
  <c r="D151"/>
  <c r="D147" s="1"/>
  <c r="D152"/>
  <c r="D153"/>
  <c r="D154"/>
  <c r="D155"/>
  <c r="D183" i="10"/>
  <c r="D182"/>
  <c r="D160" i="8"/>
  <c r="E37"/>
  <c r="E38"/>
  <c r="E40"/>
  <c r="E42"/>
  <c r="E43"/>
  <c r="E44"/>
  <c r="E41"/>
  <c r="E54"/>
  <c r="E55"/>
  <c r="E53" s="1"/>
  <c r="E62"/>
  <c r="E63"/>
  <c r="E61"/>
  <c r="E64" s="1"/>
  <c r="E70"/>
  <c r="E71"/>
  <c r="E69" s="1"/>
  <c r="E72" s="1"/>
  <c r="E79"/>
  <c r="E80"/>
  <c r="E78" s="1"/>
  <c r="E110"/>
  <c r="E111"/>
  <c r="E109"/>
  <c r="E113"/>
  <c r="E112"/>
  <c r="E132"/>
  <c r="E133"/>
  <c r="E131" s="1"/>
  <c r="E134"/>
  <c r="E135"/>
  <c r="E136"/>
  <c r="E137"/>
  <c r="E138"/>
  <c r="E139"/>
  <c r="E140"/>
  <c r="E141"/>
  <c r="E148"/>
  <c r="E149"/>
  <c r="E150"/>
  <c r="E151"/>
  <c r="E152"/>
  <c r="E153"/>
  <c r="E154"/>
  <c r="E155"/>
  <c r="E147"/>
  <c r="E183" i="10"/>
  <c r="E182"/>
  <c r="E160" i="8"/>
  <c r="F37"/>
  <c r="F38"/>
  <c r="F39"/>
  <c r="F40"/>
  <c r="F36" s="1"/>
  <c r="F42"/>
  <c r="F43"/>
  <c r="F44"/>
  <c r="F41" s="1"/>
  <c r="F54"/>
  <c r="F55"/>
  <c r="F53" s="1"/>
  <c r="F62"/>
  <c r="F61" s="1"/>
  <c r="F70"/>
  <c r="F71"/>
  <c r="F69"/>
  <c r="F72" s="1"/>
  <c r="F79"/>
  <c r="F80"/>
  <c r="F78"/>
  <c r="F110"/>
  <c r="F109"/>
  <c r="F112"/>
  <c r="F108"/>
  <c r="F132"/>
  <c r="F133"/>
  <c r="F131" s="1"/>
  <c r="F134"/>
  <c r="F135"/>
  <c r="F136"/>
  <c r="F137"/>
  <c r="F138"/>
  <c r="F139"/>
  <c r="F140"/>
  <c r="F141"/>
  <c r="F148"/>
  <c r="F149"/>
  <c r="F152"/>
  <c r="F153"/>
  <c r="F154"/>
  <c r="F155"/>
  <c r="F147"/>
  <c r="F183" i="10"/>
  <c r="F182"/>
  <c r="F160" i="8"/>
  <c r="G38"/>
  <c r="G39"/>
  <c r="G40"/>
  <c r="G42"/>
  <c r="G43"/>
  <c r="G44"/>
  <c r="G41" s="1"/>
  <c r="G54"/>
  <c r="G55"/>
  <c r="G53" s="1"/>
  <c r="G62"/>
  <c r="G61" s="1"/>
  <c r="G64" s="1"/>
  <c r="G70"/>
  <c r="G71"/>
  <c r="G69"/>
  <c r="G72" s="1"/>
  <c r="G79"/>
  <c r="G80"/>
  <c r="G78"/>
  <c r="G110"/>
  <c r="G109"/>
  <c r="G112"/>
  <c r="G108"/>
  <c r="G132"/>
  <c r="G133"/>
  <c r="G131" s="1"/>
  <c r="G134"/>
  <c r="G135"/>
  <c r="G136"/>
  <c r="G137"/>
  <c r="G138"/>
  <c r="G139"/>
  <c r="G140"/>
  <c r="G141"/>
  <c r="G148"/>
  <c r="G149"/>
  <c r="G152"/>
  <c r="G153"/>
  <c r="G154"/>
  <c r="G155"/>
  <c r="G147"/>
  <c r="G160"/>
  <c r="H37"/>
  <c r="H38"/>
  <c r="H39"/>
  <c r="H40"/>
  <c r="H36" s="1"/>
  <c r="H42"/>
  <c r="H43"/>
  <c r="H44"/>
  <c r="H41" s="1"/>
  <c r="H54"/>
  <c r="H55"/>
  <c r="H53" s="1"/>
  <c r="H62"/>
  <c r="H61" s="1"/>
  <c r="H64" s="1"/>
  <c r="H70"/>
  <c r="H71"/>
  <c r="H69"/>
  <c r="H72" s="1"/>
  <c r="H79"/>
  <c r="H80"/>
  <c r="H78"/>
  <c r="H110"/>
  <c r="H109"/>
  <c r="H112"/>
  <c r="H108"/>
  <c r="H132"/>
  <c r="H133"/>
  <c r="H131" s="1"/>
  <c r="H134"/>
  <c r="H135"/>
  <c r="H136"/>
  <c r="H137"/>
  <c r="H138"/>
  <c r="H139"/>
  <c r="H140"/>
  <c r="H141"/>
  <c r="H148"/>
  <c r="H149"/>
  <c r="H152"/>
  <c r="H153"/>
  <c r="H154"/>
  <c r="H155"/>
  <c r="H147"/>
  <c r="H160"/>
  <c r="I37"/>
  <c r="I38"/>
  <c r="I39"/>
  <c r="I40"/>
  <c r="I36" s="1"/>
  <c r="I42"/>
  <c r="I43"/>
  <c r="I44"/>
  <c r="I41" s="1"/>
  <c r="I54"/>
  <c r="I55"/>
  <c r="I53" s="1"/>
  <c r="I56" s="1"/>
  <c r="I62"/>
  <c r="I61" s="1"/>
  <c r="I64" s="1"/>
  <c r="I71"/>
  <c r="I79"/>
  <c r="I80"/>
  <c r="I78" s="1"/>
  <c r="I112"/>
  <c r="I132"/>
  <c r="I133"/>
  <c r="I131" s="1"/>
  <c r="I134"/>
  <c r="I135"/>
  <c r="I136"/>
  <c r="I137"/>
  <c r="I138"/>
  <c r="I139"/>
  <c r="I140"/>
  <c r="I141"/>
  <c r="I148"/>
  <c r="I149"/>
  <c r="I152"/>
  <c r="I153"/>
  <c r="I147" s="1"/>
  <c r="I154"/>
  <c r="I155"/>
  <c r="I160"/>
  <c r="J38"/>
  <c r="J40"/>
  <c r="J42"/>
  <c r="J41" s="1"/>
  <c r="J43"/>
  <c r="J44"/>
  <c r="J54"/>
  <c r="J55"/>
  <c r="J53"/>
  <c r="J62"/>
  <c r="J61"/>
  <c r="J79"/>
  <c r="J80"/>
  <c r="J78" s="1"/>
  <c r="J112"/>
  <c r="J132"/>
  <c r="J133"/>
  <c r="J131" s="1"/>
  <c r="J134"/>
  <c r="J135"/>
  <c r="J136"/>
  <c r="J137"/>
  <c r="J138"/>
  <c r="J139"/>
  <c r="J140"/>
  <c r="J141"/>
  <c r="J148"/>
  <c r="J149"/>
  <c r="J152"/>
  <c r="J153"/>
  <c r="J154"/>
  <c r="J155"/>
  <c r="J147"/>
  <c r="J160"/>
  <c r="K37"/>
  <c r="K38"/>
  <c r="K40"/>
  <c r="K42"/>
  <c r="K43"/>
  <c r="K44"/>
  <c r="K41"/>
  <c r="K54"/>
  <c r="K79"/>
  <c r="K80"/>
  <c r="K78"/>
  <c r="K112"/>
  <c r="K132"/>
  <c r="K133"/>
  <c r="K134"/>
  <c r="K135"/>
  <c r="K136"/>
  <c r="K137"/>
  <c r="K138"/>
  <c r="K139"/>
  <c r="K140"/>
  <c r="K141"/>
  <c r="K131"/>
  <c r="K148"/>
  <c r="K149"/>
  <c r="K147" s="1"/>
  <c r="K152"/>
  <c r="K153"/>
  <c r="K154"/>
  <c r="K155"/>
  <c r="K160"/>
  <c r="L37"/>
  <c r="L38"/>
  <c r="L40"/>
  <c r="L42"/>
  <c r="L41" s="1"/>
  <c r="L43"/>
  <c r="L44"/>
  <c r="L54"/>
  <c r="L79"/>
  <c r="L80"/>
  <c r="L78" s="1"/>
  <c r="L112"/>
  <c r="L132"/>
  <c r="L133"/>
  <c r="L131" s="1"/>
  <c r="L134"/>
  <c r="L135"/>
  <c r="L136"/>
  <c r="L137"/>
  <c r="L138"/>
  <c r="L139"/>
  <c r="L140"/>
  <c r="L141"/>
  <c r="L148"/>
  <c r="L149"/>
  <c r="L152"/>
  <c r="L153"/>
  <c r="L154"/>
  <c r="L155"/>
  <c r="L147"/>
  <c r="L160"/>
  <c r="M40"/>
  <c r="M42"/>
  <c r="M43"/>
  <c r="M44"/>
  <c r="M41"/>
  <c r="M54"/>
  <c r="M79"/>
  <c r="M80"/>
  <c r="M78"/>
  <c r="M112"/>
  <c r="M132"/>
  <c r="M133"/>
  <c r="M134"/>
  <c r="M135"/>
  <c r="M136"/>
  <c r="M137"/>
  <c r="M138"/>
  <c r="M139"/>
  <c r="M140"/>
  <c r="M141"/>
  <c r="M131"/>
  <c r="M148"/>
  <c r="M149"/>
  <c r="M147" s="1"/>
  <c r="M152"/>
  <c r="M153"/>
  <c r="M154"/>
  <c r="M155"/>
  <c r="M160"/>
  <c r="N40"/>
  <c r="N42"/>
  <c r="N43"/>
  <c r="N54"/>
  <c r="N79"/>
  <c r="N80"/>
  <c r="N78" s="1"/>
  <c r="N112"/>
  <c r="N132"/>
  <c r="N133"/>
  <c r="N131" s="1"/>
  <c r="N134"/>
  <c r="N135"/>
  <c r="N136"/>
  <c r="N137"/>
  <c r="N138"/>
  <c r="N139"/>
  <c r="N140"/>
  <c r="N141"/>
  <c r="N148"/>
  <c r="N149"/>
  <c r="N152"/>
  <c r="N153"/>
  <c r="N154"/>
  <c r="N155"/>
  <c r="N147"/>
  <c r="N160"/>
  <c r="O40"/>
  <c r="O42"/>
  <c r="O54"/>
  <c r="O79"/>
  <c r="O80"/>
  <c r="O78" s="1"/>
  <c r="O112"/>
  <c r="O132"/>
  <c r="O133"/>
  <c r="O131" s="1"/>
  <c r="O134"/>
  <c r="O135"/>
  <c r="O136"/>
  <c r="O137"/>
  <c r="O138"/>
  <c r="O139"/>
  <c r="O140"/>
  <c r="O141"/>
  <c r="O148"/>
  <c r="O149"/>
  <c r="O152"/>
  <c r="O153"/>
  <c r="O147" s="1"/>
  <c r="O154"/>
  <c r="O155"/>
  <c r="O160"/>
  <c r="P40"/>
  <c r="P54"/>
  <c r="P79"/>
  <c r="P80"/>
  <c r="P78"/>
  <c r="P112"/>
  <c r="P132"/>
  <c r="P133"/>
  <c r="P134"/>
  <c r="P135"/>
  <c r="P136"/>
  <c r="P137"/>
  <c r="P138"/>
  <c r="P139"/>
  <c r="P140"/>
  <c r="P141"/>
  <c r="P131"/>
  <c r="P148"/>
  <c r="P149"/>
  <c r="P147" s="1"/>
  <c r="P152"/>
  <c r="P153"/>
  <c r="P154"/>
  <c r="P155"/>
  <c r="P160"/>
  <c r="Q37"/>
  <c r="Q38"/>
  <c r="Q39"/>
  <c r="Q40"/>
  <c r="Q36"/>
  <c r="Q42"/>
  <c r="Q41" s="1"/>
  <c r="Q43"/>
  <c r="Q44"/>
  <c r="Q54"/>
  <c r="Q55"/>
  <c r="Q53"/>
  <c r="Q62"/>
  <c r="Q61" s="1"/>
  <c r="Q64" s="1"/>
  <c r="Q70"/>
  <c r="Q71"/>
  <c r="Q69"/>
  <c r="Q79"/>
  <c r="Q80"/>
  <c r="Q78"/>
  <c r="Q110"/>
  <c r="Q109"/>
  <c r="Q112"/>
  <c r="Q108"/>
  <c r="Q132"/>
  <c r="Q133"/>
  <c r="Q131" s="1"/>
  <c r="Q134"/>
  <c r="Q135"/>
  <c r="Q136"/>
  <c r="Q137"/>
  <c r="Q138"/>
  <c r="Q139"/>
  <c r="Q140"/>
  <c r="Q141"/>
  <c r="Q148"/>
  <c r="Q149"/>
  <c r="Q152"/>
  <c r="Q153"/>
  <c r="Q154"/>
  <c r="Q155"/>
  <c r="Q147"/>
  <c r="Q160"/>
  <c r="C23"/>
  <c r="D23"/>
  <c r="E23"/>
  <c r="F23"/>
  <c r="G23"/>
  <c r="H23"/>
  <c r="I23"/>
  <c r="J23"/>
  <c r="K23"/>
  <c r="L23"/>
  <c r="M23"/>
  <c r="N23"/>
  <c r="O23"/>
  <c r="P23"/>
  <c r="Q23"/>
  <c r="A27"/>
  <c r="A35"/>
  <c r="A37"/>
  <c r="A38"/>
  <c r="A39"/>
  <c r="A40"/>
  <c r="A42"/>
  <c r="A43"/>
  <c r="A44"/>
  <c r="D56"/>
  <c r="F56"/>
  <c r="C64"/>
  <c r="F64"/>
  <c r="Q72"/>
  <c r="C81"/>
  <c r="E81"/>
  <c r="C120"/>
  <c r="D120"/>
  <c r="E120"/>
  <c r="F120"/>
  <c r="G120"/>
  <c r="H120"/>
  <c r="I120"/>
  <c r="K120"/>
  <c r="M120"/>
  <c r="O120"/>
  <c r="Q120"/>
  <c r="C79" i="9"/>
  <c r="D79"/>
  <c r="E79"/>
  <c r="F79"/>
  <c r="A122"/>
  <c r="B122"/>
  <c r="C122"/>
  <c r="D122"/>
  <c r="E122"/>
  <c r="F122"/>
  <c r="G122"/>
  <c r="H122"/>
  <c r="I122"/>
  <c r="J122"/>
  <c r="K122"/>
  <c r="L122"/>
  <c r="M122"/>
  <c r="N122"/>
  <c r="O122"/>
  <c r="P122"/>
  <c r="U122"/>
  <c r="A123"/>
  <c r="B123"/>
  <c r="C123"/>
  <c r="D123"/>
  <c r="E123"/>
  <c r="F123"/>
  <c r="G123"/>
  <c r="H123"/>
  <c r="I123"/>
  <c r="J123"/>
  <c r="K123"/>
  <c r="L123"/>
  <c r="M123"/>
  <c r="N123"/>
  <c r="O123"/>
  <c r="P123"/>
  <c r="U123"/>
  <c r="A124"/>
  <c r="B124"/>
  <c r="C124"/>
  <c r="D124"/>
  <c r="E124"/>
  <c r="F124"/>
  <c r="G124"/>
  <c r="H124"/>
  <c r="I124"/>
  <c r="J124"/>
  <c r="K124"/>
  <c r="L124"/>
  <c r="M124"/>
  <c r="N124"/>
  <c r="O124"/>
  <c r="P124"/>
  <c r="U124"/>
  <c r="A125"/>
  <c r="B125"/>
  <c r="C125"/>
  <c r="D125"/>
  <c r="E125"/>
  <c r="F125"/>
  <c r="G125"/>
  <c r="H125"/>
  <c r="I125"/>
  <c r="J125"/>
  <c r="K125"/>
  <c r="L125"/>
  <c r="M125"/>
  <c r="N125"/>
  <c r="O125"/>
  <c r="P125"/>
  <c r="U125"/>
  <c r="A126"/>
  <c r="B126"/>
  <c r="C126"/>
  <c r="D126"/>
  <c r="E126"/>
  <c r="F126"/>
  <c r="G126"/>
  <c r="H126"/>
  <c r="I126"/>
  <c r="J126"/>
  <c r="K126"/>
  <c r="L126"/>
  <c r="M126"/>
  <c r="N126"/>
  <c r="O126"/>
  <c r="P126"/>
  <c r="U126"/>
  <c r="A127"/>
  <c r="B127"/>
  <c r="C127"/>
  <c r="D127"/>
  <c r="E127"/>
  <c r="F127"/>
  <c r="G127"/>
  <c r="H127"/>
  <c r="I127"/>
  <c r="J127"/>
  <c r="K127"/>
  <c r="L127"/>
  <c r="M127"/>
  <c r="N127"/>
  <c r="O127"/>
  <c r="P127"/>
  <c r="U127"/>
  <c r="A128"/>
  <c r="B128"/>
  <c r="C128"/>
  <c r="D128"/>
  <c r="E128"/>
  <c r="F128"/>
  <c r="G128"/>
  <c r="H128"/>
  <c r="I128"/>
  <c r="J128"/>
  <c r="K128"/>
  <c r="L128"/>
  <c r="M128"/>
  <c r="N128"/>
  <c r="O128"/>
  <c r="P128"/>
  <c r="U128"/>
  <c r="A129"/>
  <c r="B129"/>
  <c r="C129"/>
  <c r="D129"/>
  <c r="E129"/>
  <c r="F129"/>
  <c r="G129"/>
  <c r="H129"/>
  <c r="I129"/>
  <c r="J129"/>
  <c r="K129"/>
  <c r="L129"/>
  <c r="M129"/>
  <c r="N129"/>
  <c r="O129"/>
  <c r="P129"/>
  <c r="U129"/>
  <c r="A130"/>
  <c r="B130"/>
  <c r="C156"/>
  <c r="C130"/>
  <c r="D156"/>
  <c r="D130"/>
  <c r="E156"/>
  <c r="E130"/>
  <c r="F156"/>
  <c r="F130"/>
  <c r="G156"/>
  <c r="G130"/>
  <c r="H156"/>
  <c r="H130"/>
  <c r="I156"/>
  <c r="I130"/>
  <c r="J156"/>
  <c r="J130"/>
  <c r="K156"/>
  <c r="K130"/>
  <c r="L156"/>
  <c r="L130"/>
  <c r="M156"/>
  <c r="M130"/>
  <c r="N156"/>
  <c r="N130"/>
  <c r="O156"/>
  <c r="O130"/>
  <c r="P156"/>
  <c r="P130"/>
  <c r="U130"/>
  <c r="A131"/>
  <c r="B131"/>
  <c r="C131"/>
  <c r="D131"/>
  <c r="E131"/>
  <c r="F131"/>
  <c r="G131"/>
  <c r="H131"/>
  <c r="I131"/>
  <c r="J131"/>
  <c r="K131"/>
  <c r="L131"/>
  <c r="M131"/>
  <c r="N131"/>
  <c r="O131"/>
  <c r="P131"/>
  <c r="U131"/>
  <c r="A132"/>
  <c r="B132"/>
  <c r="C132"/>
  <c r="D132"/>
  <c r="E132"/>
  <c r="F132"/>
  <c r="G132"/>
  <c r="H132"/>
  <c r="I132"/>
  <c r="J132"/>
  <c r="K132"/>
  <c r="L132"/>
  <c r="M132"/>
  <c r="N132"/>
  <c r="O132"/>
  <c r="P132"/>
  <c r="U132"/>
  <c r="A133"/>
  <c r="B133"/>
  <c r="C133"/>
  <c r="D133"/>
  <c r="E133"/>
  <c r="F133"/>
  <c r="G133"/>
  <c r="H133"/>
  <c r="I133"/>
  <c r="J133"/>
  <c r="K133"/>
  <c r="L133"/>
  <c r="M133"/>
  <c r="N133"/>
  <c r="O133"/>
  <c r="P133"/>
  <c r="U133"/>
  <c r="A134"/>
  <c r="B134"/>
  <c r="C134"/>
  <c r="D134"/>
  <c r="E134"/>
  <c r="F134"/>
  <c r="G134"/>
  <c r="H134"/>
  <c r="I134"/>
  <c r="J134"/>
  <c r="K134"/>
  <c r="L134"/>
  <c r="M134"/>
  <c r="N134"/>
  <c r="O134"/>
  <c r="P134"/>
  <c r="U134"/>
  <c r="A135"/>
  <c r="B135"/>
  <c r="C135"/>
  <c r="D135"/>
  <c r="E135"/>
  <c r="F135"/>
  <c r="G135"/>
  <c r="H135"/>
  <c r="I135"/>
  <c r="J135"/>
  <c r="K135"/>
  <c r="L135"/>
  <c r="M135"/>
  <c r="N135"/>
  <c r="O135"/>
  <c r="P135"/>
  <c r="U135"/>
  <c r="A136"/>
  <c r="B136"/>
  <c r="C136"/>
  <c r="D136"/>
  <c r="E136"/>
  <c r="F136"/>
  <c r="G136"/>
  <c r="H136"/>
  <c r="I136"/>
  <c r="J136"/>
  <c r="K136"/>
  <c r="L136"/>
  <c r="M136"/>
  <c r="N136"/>
  <c r="O136"/>
  <c r="P136"/>
  <c r="U136"/>
  <c r="A137"/>
  <c r="B137"/>
  <c r="C137"/>
  <c r="D137"/>
  <c r="E137"/>
  <c r="F137"/>
  <c r="G137"/>
  <c r="H137"/>
  <c r="I137"/>
  <c r="J137"/>
  <c r="K137"/>
  <c r="L137"/>
  <c r="M137"/>
  <c r="N137"/>
  <c r="O137"/>
  <c r="P137"/>
  <c r="U137"/>
  <c r="A138"/>
  <c r="B138"/>
  <c r="C138"/>
  <c r="D138"/>
  <c r="E138"/>
  <c r="F138"/>
  <c r="G138"/>
  <c r="H138"/>
  <c r="I138"/>
  <c r="J138"/>
  <c r="K138"/>
  <c r="L138"/>
  <c r="M138"/>
  <c r="N138"/>
  <c r="O138"/>
  <c r="P138"/>
  <c r="U138"/>
  <c r="A139"/>
  <c r="B139"/>
  <c r="C139"/>
  <c r="D139"/>
  <c r="E139"/>
  <c r="F139"/>
  <c r="G139"/>
  <c r="H139"/>
  <c r="I139"/>
  <c r="J139"/>
  <c r="K139"/>
  <c r="L139"/>
  <c r="M139"/>
  <c r="N139"/>
  <c r="O139"/>
  <c r="P139"/>
  <c r="U139"/>
  <c r="A140"/>
  <c r="B140"/>
  <c r="C140"/>
  <c r="D140"/>
  <c r="E140"/>
  <c r="F140"/>
  <c r="G140"/>
  <c r="H140"/>
  <c r="I140"/>
  <c r="J140"/>
  <c r="K140"/>
  <c r="L140"/>
  <c r="M140"/>
  <c r="N140"/>
  <c r="O140"/>
  <c r="P140"/>
  <c r="U140"/>
  <c r="C145"/>
  <c r="D145"/>
  <c r="E145"/>
  <c r="F145"/>
  <c r="G145"/>
  <c r="H145"/>
  <c r="I145"/>
  <c r="J145"/>
  <c r="K145"/>
  <c r="L145"/>
  <c r="M145"/>
  <c r="N145"/>
  <c r="O145"/>
  <c r="P145"/>
  <c r="M10" i="10"/>
  <c r="O10"/>
  <c r="C57"/>
  <c r="C64"/>
  <c r="C71"/>
  <c r="C56"/>
  <c r="C55"/>
  <c r="C108"/>
  <c r="C145"/>
  <c r="D57"/>
  <c r="D56"/>
  <c r="D55"/>
  <c r="D64"/>
  <c r="D71"/>
  <c r="D108"/>
  <c r="D145"/>
  <c r="E57"/>
  <c r="E64"/>
  <c r="E71"/>
  <c r="E56"/>
  <c r="E55"/>
  <c r="E108"/>
  <c r="E145"/>
  <c r="F14"/>
  <c r="F57"/>
  <c r="F56"/>
  <c r="F55"/>
  <c r="F13" s="1"/>
  <c r="F64"/>
  <c r="F71"/>
  <c r="F108"/>
  <c r="F145"/>
  <c r="G57"/>
  <c r="G64"/>
  <c r="G71"/>
  <c r="G56"/>
  <c r="G108"/>
  <c r="C192"/>
  <c r="D192"/>
  <c r="E192"/>
  <c r="F192"/>
  <c r="G192"/>
  <c r="I192"/>
  <c r="J192"/>
  <c r="K192"/>
  <c r="L192"/>
  <c r="M192"/>
  <c r="N192"/>
  <c r="O192"/>
  <c r="P192"/>
  <c r="D1" i="11"/>
  <c r="D33" s="1"/>
  <c r="D4"/>
  <c r="C4" s="1"/>
  <c r="C7"/>
  <c r="D14"/>
  <c r="B21"/>
  <c r="D21"/>
  <c r="D25"/>
  <c r="D29" s="1"/>
  <c r="C27"/>
  <c r="C26"/>
  <c r="C29"/>
  <c r="D27"/>
  <c r="D28"/>
  <c r="D26"/>
  <c r="B33"/>
  <c r="D36"/>
  <c r="D37"/>
  <c r="D39"/>
  <c r="D38"/>
  <c r="C38"/>
  <c r="C39" s="1"/>
  <c r="B43"/>
  <c r="D46"/>
  <c r="D47"/>
  <c r="D55"/>
  <c r="B56"/>
  <c r="B57"/>
  <c r="B59"/>
  <c r="B60"/>
  <c r="B61"/>
  <c r="B62"/>
  <c r="C62"/>
  <c r="D62"/>
  <c r="B63"/>
  <c r="C63"/>
  <c r="B64"/>
  <c r="C64"/>
  <c r="B65"/>
  <c r="C65"/>
  <c r="B66"/>
  <c r="C66"/>
  <c r="B67"/>
  <c r="C67"/>
  <c r="B71"/>
  <c r="D73"/>
  <c r="C75"/>
  <c r="C76"/>
  <c r="C74"/>
  <c r="D76"/>
  <c r="A75"/>
  <c r="A77"/>
  <c r="C77"/>
  <c r="C78"/>
  <c r="C80"/>
  <c r="L89"/>
  <c r="L90"/>
  <c r="L91"/>
  <c r="L92"/>
  <c r="L93"/>
  <c r="L94"/>
  <c r="L95"/>
  <c r="L96"/>
  <c r="L97"/>
  <c r="L98"/>
  <c r="L99"/>
  <c r="L100"/>
  <c r="L101"/>
  <c r="L102"/>
  <c r="L103"/>
  <c r="L104"/>
  <c r="L105"/>
  <c r="L106"/>
  <c r="L107"/>
  <c r="I12" i="12"/>
  <c r="J12"/>
  <c r="L12"/>
  <c r="R12"/>
  <c r="I13"/>
  <c r="J13"/>
  <c r="L13"/>
  <c r="S13"/>
  <c r="U13"/>
  <c r="R13"/>
  <c r="I14"/>
  <c r="J14"/>
  <c r="L14"/>
  <c r="S14"/>
  <c r="U14"/>
  <c r="R14"/>
  <c r="I15"/>
  <c r="J15"/>
  <c r="L15"/>
  <c r="S15"/>
  <c r="U15"/>
  <c r="R15"/>
  <c r="I16"/>
  <c r="J16"/>
  <c r="L16"/>
  <c r="S16"/>
  <c r="U16"/>
  <c r="R16"/>
  <c r="C17"/>
  <c r="D17"/>
  <c r="E17"/>
  <c r="F17"/>
  <c r="G17"/>
  <c r="H17"/>
  <c r="I17"/>
  <c r="J17"/>
  <c r="K17"/>
  <c r="M17"/>
  <c r="N17"/>
  <c r="O17"/>
  <c r="P17"/>
  <c r="Q17"/>
  <c r="R17"/>
  <c r="T17"/>
  <c r="I19"/>
  <c r="J19"/>
  <c r="R19"/>
  <c r="I20"/>
  <c r="J20"/>
  <c r="L20"/>
  <c r="S20"/>
  <c r="U20"/>
  <c r="R20"/>
  <c r="I21"/>
  <c r="J21"/>
  <c r="L21"/>
  <c r="S21"/>
  <c r="U21"/>
  <c r="R21"/>
  <c r="I22"/>
  <c r="J22"/>
  <c r="L22"/>
  <c r="S22"/>
  <c r="U22"/>
  <c r="R22"/>
  <c r="I23"/>
  <c r="J23"/>
  <c r="L23"/>
  <c r="S23"/>
  <c r="U23"/>
  <c r="R23"/>
  <c r="C24"/>
  <c r="C25"/>
  <c r="D24"/>
  <c r="E24"/>
  <c r="E25"/>
  <c r="F24"/>
  <c r="G24"/>
  <c r="G25"/>
  <c r="H24"/>
  <c r="I24"/>
  <c r="I25"/>
  <c r="K24"/>
  <c r="K25"/>
  <c r="M24"/>
  <c r="M25"/>
  <c r="N24"/>
  <c r="O24"/>
  <c r="O25"/>
  <c r="P24"/>
  <c r="Q24"/>
  <c r="Q25"/>
  <c r="R24"/>
  <c r="T24"/>
  <c r="D25"/>
  <c r="F25"/>
  <c r="H25"/>
  <c r="N25"/>
  <c r="P25"/>
  <c r="R25"/>
  <c r="T25"/>
  <c r="C37"/>
  <c r="D37"/>
  <c r="E37"/>
  <c r="F37"/>
  <c r="C44"/>
  <c r="D44"/>
  <c r="E44"/>
  <c r="F44"/>
  <c r="C45"/>
  <c r="D45"/>
  <c r="E45"/>
  <c r="F45"/>
  <c r="A8" i="13"/>
  <c r="F8"/>
  <c r="M123" i="3"/>
  <c r="G130"/>
  <c r="U52" i="10"/>
  <c r="T49" i="3"/>
  <c r="AH76" i="4"/>
  <c r="L69" i="10"/>
  <c r="L62" i="8" s="1"/>
  <c r="L61" s="1"/>
  <c r="K69" i="10"/>
  <c r="K62" i="8"/>
  <c r="K61" s="1"/>
  <c r="K64" s="1"/>
  <c r="J27" i="9"/>
  <c r="E27" i="46"/>
  <c r="E28"/>
  <c r="U10" i="10"/>
  <c r="T9" i="3"/>
  <c r="T124"/>
  <c r="AH31" i="4"/>
  <c r="T42" i="5"/>
  <c r="T143" i="3"/>
  <c r="P28" i="2"/>
  <c r="P30"/>
  <c r="P29"/>
  <c r="P31"/>
  <c r="P32"/>
  <c r="P33"/>
  <c r="P34"/>
  <c r="P37"/>
  <c r="P38"/>
  <c r="P36" s="1"/>
  <c r="P35" s="1"/>
  <c r="P40"/>
  <c r="P41"/>
  <c r="P43"/>
  <c r="P44"/>
  <c r="P45"/>
  <c r="P49"/>
  <c r="P48" s="1"/>
  <c r="P47" s="1"/>
  <c r="P50"/>
  <c r="P51"/>
  <c r="P53"/>
  <c r="P54"/>
  <c r="P57"/>
  <c r="P55"/>
  <c r="P56"/>
  <c r="P60"/>
  <c r="P59" s="1"/>
  <c r="P58" s="1"/>
  <c r="P61"/>
  <c r="P62"/>
  <c r="P63"/>
  <c r="P66"/>
  <c r="P68"/>
  <c r="P70"/>
  <c r="P64"/>
  <c r="P65"/>
  <c r="P225"/>
  <c r="P226"/>
  <c r="P213" s="1"/>
  <c r="P227"/>
  <c r="P214" s="1"/>
  <c r="P233"/>
  <c r="Q74" i="9"/>
  <c r="P22" i="3"/>
  <c r="P52"/>
  <c r="P51"/>
  <c r="Q79" i="9"/>
  <c r="L12" i="23"/>
  <c r="AD50" i="4"/>
  <c r="AD48"/>
  <c r="Q70" i="9"/>
  <c r="P30" i="3"/>
  <c r="J110" i="10"/>
  <c r="J109"/>
  <c r="I19" i="3"/>
  <c r="I13"/>
  <c r="L93" i="10"/>
  <c r="L71"/>
  <c r="K93"/>
  <c r="AD8" i="4"/>
  <c r="AD69" s="1"/>
  <c r="P9" i="3"/>
  <c r="P124" s="1"/>
  <c r="AE8" i="4"/>
  <c r="AE69" s="1"/>
  <c r="Q9" i="3"/>
  <c r="Q124" s="1"/>
  <c r="AF8" i="4"/>
  <c r="AF69" s="1"/>
  <c r="R9" i="3"/>
  <c r="R124" s="1"/>
  <c r="AG8" i="4"/>
  <c r="AG69" s="1"/>
  <c r="S9" i="3"/>
  <c r="S124" s="1"/>
  <c r="Q49" i="10"/>
  <c r="P140" i="3"/>
  <c r="T51" i="10"/>
  <c r="U51"/>
  <c r="V51"/>
  <c r="W51"/>
  <c r="R45" i="3"/>
  <c r="T50" i="10"/>
  <c r="S44" i="3"/>
  <c r="R44"/>
  <c r="V10" i="4"/>
  <c r="V9" s="1"/>
  <c r="Y10"/>
  <c r="L33" i="8"/>
  <c r="X10" i="4"/>
  <c r="W10"/>
  <c r="J33" i="8" s="1"/>
  <c r="K71" i="10"/>
  <c r="K13" i="9"/>
  <c r="J11" i="5"/>
  <c r="J13" i="9"/>
  <c r="I13"/>
  <c r="T10" i="10"/>
  <c r="S10"/>
  <c r="R10"/>
  <c r="Q10"/>
  <c r="I110"/>
  <c r="J93"/>
  <c r="N45" i="3"/>
  <c r="M45"/>
  <c r="L45"/>
  <c r="K45"/>
  <c r="J16" i="10"/>
  <c r="P68" i="3"/>
  <c r="P66" s="1"/>
  <c r="P65" s="1"/>
  <c r="P64" s="1"/>
  <c r="P47"/>
  <c r="P46" s="1"/>
  <c r="P45"/>
  <c r="P44"/>
  <c r="Q45"/>
  <c r="Q44"/>
  <c r="N123"/>
  <c r="O123" s="1"/>
  <c r="H130"/>
  <c r="U50" i="10"/>
  <c r="S45" i="3"/>
  <c r="T45"/>
  <c r="D24" i="46"/>
  <c r="F24"/>
  <c r="E24"/>
  <c r="T64" i="5"/>
  <c r="I17"/>
  <c r="I109" i="10"/>
  <c r="Q70"/>
  <c r="J12" i="9"/>
  <c r="J167" i="10"/>
  <c r="I11" i="5"/>
  <c r="X9" i="4"/>
  <c r="K33" i="8"/>
  <c r="I33"/>
  <c r="I27" s="1"/>
  <c r="I26" s="1"/>
  <c r="I45" s="1"/>
  <c r="I119" s="1"/>
  <c r="I118" s="1"/>
  <c r="I142" s="1"/>
  <c r="I145" s="1"/>
  <c r="I144" s="1"/>
  <c r="I156" s="1"/>
  <c r="I159" s="1"/>
  <c r="I158" s="1"/>
  <c r="I161" s="1"/>
  <c r="K145" i="3"/>
  <c r="K138"/>
  <c r="K63" i="5"/>
  <c r="R49" i="10"/>
  <c r="P43" i="3"/>
  <c r="R70" i="9"/>
  <c r="Q30" i="3"/>
  <c r="AE50" i="4"/>
  <c r="AE48" s="1"/>
  <c r="P15" i="5"/>
  <c r="Q52" i="3"/>
  <c r="Q51"/>
  <c r="R79" i="9"/>
  <c r="R74"/>
  <c r="Q22" i="3"/>
  <c r="P232" i="2"/>
  <c r="P215" s="1"/>
  <c r="P216"/>
  <c r="P212"/>
  <c r="P52"/>
  <c r="E19" i="5"/>
  <c r="J71" i="10"/>
  <c r="P42" i="2"/>
  <c r="C18" i="5" s="1"/>
  <c r="D18" s="1"/>
  <c r="E18" s="1"/>
  <c r="P39" i="2"/>
  <c r="I130" i="3"/>
  <c r="S74" i="9"/>
  <c r="R22" i="3"/>
  <c r="M12" i="23"/>
  <c r="Q15" i="5"/>
  <c r="R124" i="10"/>
  <c r="R123"/>
  <c r="R52" i="3"/>
  <c r="R51"/>
  <c r="S79" i="9"/>
  <c r="AF50" i="4"/>
  <c r="AF48" s="1"/>
  <c r="S70" i="9"/>
  <c r="R30" i="3"/>
  <c r="S49" i="10"/>
  <c r="Q43" i="3"/>
  <c r="L136"/>
  <c r="I34" i="8"/>
  <c r="I130" s="1"/>
  <c r="L27"/>
  <c r="K34"/>
  <c r="K130" s="1"/>
  <c r="X59" i="4"/>
  <c r="F9" i="23" s="1"/>
  <c r="F16" s="1"/>
  <c r="J125" i="3"/>
  <c r="J166" i="10"/>
  <c r="J71" i="8"/>
  <c r="R70" i="10"/>
  <c r="T70" i="9"/>
  <c r="S30" i="3"/>
  <c r="AG50" i="4"/>
  <c r="AG48"/>
  <c r="AH50"/>
  <c r="AH48"/>
  <c r="U79" i="9"/>
  <c r="T52" i="3"/>
  <c r="T51" s="1"/>
  <c r="T74" i="9"/>
  <c r="S22" i="3"/>
  <c r="U74" i="9"/>
  <c r="T22" i="3"/>
  <c r="S70" i="10"/>
  <c r="L138" i="3"/>
  <c r="L145"/>
  <c r="L63" i="5"/>
  <c r="T49" i="10"/>
  <c r="U49"/>
  <c r="V49"/>
  <c r="R43" i="3"/>
  <c r="N12" i="23"/>
  <c r="R15" i="5"/>
  <c r="S124" i="10"/>
  <c r="S123"/>
  <c r="S52" i="3"/>
  <c r="S51"/>
  <c r="T79" i="9"/>
  <c r="S15" i="5"/>
  <c r="T70" i="10"/>
  <c r="U70"/>
  <c r="T15" i="5"/>
  <c r="P12" i="23"/>
  <c r="U124" i="10"/>
  <c r="U123"/>
  <c r="U70" i="9"/>
  <c r="T30" i="3"/>
  <c r="O12" i="23"/>
  <c r="T124" i="10"/>
  <c r="T123" s="1"/>
  <c r="S43" i="3"/>
  <c r="M136"/>
  <c r="M145"/>
  <c r="M138"/>
  <c r="M63" i="5"/>
  <c r="N136" i="3"/>
  <c r="T43"/>
  <c r="K167" i="10"/>
  <c r="I34" i="3"/>
  <c r="I33"/>
  <c r="W71" i="4"/>
  <c r="E108" i="8"/>
  <c r="E12" i="9"/>
  <c r="E11"/>
  <c r="E56" i="8"/>
  <c r="D12" i="9"/>
  <c r="D11"/>
  <c r="D81" i="8"/>
  <c r="D64"/>
  <c r="C94"/>
  <c r="C12" i="9"/>
  <c r="C11"/>
  <c r="C91" i="8"/>
  <c r="C83" s="1"/>
  <c r="C114" s="1"/>
  <c r="C56"/>
  <c r="G65" i="7"/>
  <c r="F65"/>
  <c r="E70"/>
  <c r="F108"/>
  <c r="F67"/>
  <c r="E3" i="6"/>
  <c r="E2"/>
  <c r="D3"/>
  <c r="D2"/>
  <c r="C3"/>
  <c r="C2"/>
  <c r="D127" i="7"/>
  <c r="F128"/>
  <c r="E46" i="4"/>
  <c r="E44" s="1"/>
  <c r="J44"/>
  <c r="E33"/>
  <c r="E32" s="1"/>
  <c r="J32"/>
  <c r="D33" i="7"/>
  <c r="D185"/>
  <c r="D84"/>
  <c r="D52" i="4"/>
  <c r="D48"/>
  <c r="D46"/>
  <c r="D44" s="1"/>
  <c r="I44"/>
  <c r="D35"/>
  <c r="D33"/>
  <c r="D32"/>
  <c r="D31" s="1"/>
  <c r="I32"/>
  <c r="D22"/>
  <c r="D21"/>
  <c r="I21"/>
  <c r="C33" i="7"/>
  <c r="C185" s="1"/>
  <c r="C84"/>
  <c r="C83"/>
  <c r="C32"/>
  <c r="C184" s="1"/>
  <c r="P73" i="4"/>
  <c r="C39" i="8" s="1"/>
  <c r="C36" s="1"/>
  <c r="C14" i="10"/>
  <c r="C13" s="1"/>
  <c r="P70" i="4"/>
  <c r="F40" i="7"/>
  <c r="P9" i="4"/>
  <c r="P59" s="1"/>
  <c r="C35" i="8"/>
  <c r="C34" s="1"/>
  <c r="C130" s="1"/>
  <c r="F46" i="4"/>
  <c r="K44"/>
  <c r="F33"/>
  <c r="F32"/>
  <c r="K32"/>
  <c r="F23"/>
  <c r="K21"/>
  <c r="E33" i="7"/>
  <c r="E84"/>
  <c r="E30"/>
  <c r="E81"/>
  <c r="E37" i="3"/>
  <c r="E39"/>
  <c r="E41"/>
  <c r="E38"/>
  <c r="E40"/>
  <c r="E42"/>
  <c r="E44"/>
  <c r="E21"/>
  <c r="M74" i="2"/>
  <c r="M46"/>
  <c r="N47"/>
  <c r="K46"/>
  <c r="L73"/>
  <c r="J76" i="4"/>
  <c r="J70"/>
  <c r="N73" i="2"/>
  <c r="M73" i="4"/>
  <c r="F73" s="1"/>
  <c r="E41" i="7" s="1"/>
  <c r="N46" i="2"/>
  <c r="J27"/>
  <c r="L35"/>
  <c r="N35"/>
  <c r="I26"/>
  <c r="I25"/>
  <c r="L127"/>
  <c r="H127"/>
  <c r="H58"/>
  <c r="L58"/>
  <c r="L71" i="4"/>
  <c r="H27" i="2"/>
  <c r="E74"/>
  <c r="E46"/>
  <c r="L99" i="1"/>
  <c r="C97" i="7"/>
  <c r="G97" s="1"/>
  <c r="Q71" i="4"/>
  <c r="D14" i="10"/>
  <c r="D13" s="1"/>
  <c r="W49"/>
  <c r="V43" i="3"/>
  <c r="U43"/>
  <c r="V50" i="10"/>
  <c r="T44" i="3"/>
  <c r="H11" i="5"/>
  <c r="L19" i="12"/>
  <c r="J24"/>
  <c r="J25"/>
  <c r="L17"/>
  <c r="S12"/>
  <c r="E104" i="7"/>
  <c r="F52"/>
  <c r="G128"/>
  <c r="D89"/>
  <c r="D124"/>
  <c r="D32"/>
  <c r="D184" s="1"/>
  <c r="D83"/>
  <c r="D30"/>
  <c r="D81"/>
  <c r="C89"/>
  <c r="C124"/>
  <c r="C31"/>
  <c r="C183" s="1"/>
  <c r="C82"/>
  <c r="D11" i="4"/>
  <c r="I10"/>
  <c r="R73"/>
  <c r="E39" i="8"/>
  <c r="E36" s="1"/>
  <c r="E22" s="1"/>
  <c r="E14" i="10"/>
  <c r="E13"/>
  <c r="R70" i="4"/>
  <c r="F54"/>
  <c r="F52" s="1"/>
  <c r="K52"/>
  <c r="F50"/>
  <c r="F48"/>
  <c r="K48"/>
  <c r="F44"/>
  <c r="E89" i="7"/>
  <c r="E124"/>
  <c r="F37" i="4"/>
  <c r="F35"/>
  <c r="K35"/>
  <c r="F21"/>
  <c r="E32" i="7"/>
  <c r="E83"/>
  <c r="F12" i="4"/>
  <c r="K10"/>
  <c r="E27" i="3"/>
  <c r="E26"/>
  <c r="E28"/>
  <c r="C23"/>
  <c r="M26" i="2"/>
  <c r="M25"/>
  <c r="K74"/>
  <c r="K26"/>
  <c r="K25" s="1"/>
  <c r="L201"/>
  <c r="N201"/>
  <c r="E156" i="7"/>
  <c r="N200" i="2"/>
  <c r="L200"/>
  <c r="O200"/>
  <c r="C61" i="3"/>
  <c r="J75" i="2"/>
  <c r="L90"/>
  <c r="N90"/>
  <c r="J71"/>
  <c r="L72"/>
  <c r="N72"/>
  <c r="E42" i="7"/>
  <c r="D156"/>
  <c r="H201" i="2"/>
  <c r="H164"/>
  <c r="L164"/>
  <c r="G74"/>
  <c r="H74"/>
  <c r="H75"/>
  <c r="G46"/>
  <c r="G26"/>
  <c r="H47"/>
  <c r="L47"/>
  <c r="E26"/>
  <c r="E25"/>
  <c r="F99" i="1"/>
  <c r="D87"/>
  <c r="Q124" i="10"/>
  <c r="Q123" s="1"/>
  <c r="D71" i="11"/>
  <c r="F93" i="7"/>
  <c r="G73"/>
  <c r="F66"/>
  <c r="E55"/>
  <c r="E122"/>
  <c r="E120"/>
  <c r="E118"/>
  <c r="E99"/>
  <c r="E96"/>
  <c r="E123"/>
  <c r="E88"/>
  <c r="E189"/>
  <c r="D121"/>
  <c r="D117"/>
  <c r="D188"/>
  <c r="D186"/>
  <c r="C122"/>
  <c r="C120"/>
  <c r="C118"/>
  <c r="C116" s="1"/>
  <c r="C99"/>
  <c r="C123"/>
  <c r="C88"/>
  <c r="C189"/>
  <c r="C151"/>
  <c r="G151" s="1"/>
  <c r="C149"/>
  <c r="G149" s="1"/>
  <c r="C147"/>
  <c r="G147" s="1"/>
  <c r="C145"/>
  <c r="C136"/>
  <c r="G136"/>
  <c r="C134"/>
  <c r="G134"/>
  <c r="C132"/>
  <c r="G132"/>
  <c r="C130"/>
  <c r="G130"/>
  <c r="D54" i="6"/>
  <c r="I52" i="4"/>
  <c r="I48"/>
  <c r="I29"/>
  <c r="I35"/>
  <c r="E58" i="3"/>
  <c r="E56"/>
  <c r="E54"/>
  <c r="E52"/>
  <c r="E22"/>
  <c r="E17"/>
  <c r="N59" i="2"/>
  <c r="N52"/>
  <c r="N39"/>
  <c r="J61" i="1"/>
  <c r="J57"/>
  <c r="J50"/>
  <c r="K65"/>
  <c r="K57"/>
  <c r="H28"/>
  <c r="K29"/>
  <c r="G28"/>
  <c r="D57"/>
  <c r="D50"/>
  <c r="D28"/>
  <c r="D27"/>
  <c r="F30"/>
  <c r="E32"/>
  <c r="C29"/>
  <c r="E38"/>
  <c r="L38"/>
  <c r="E40"/>
  <c r="L40"/>
  <c r="E43"/>
  <c r="L43"/>
  <c r="E45"/>
  <c r="L45"/>
  <c r="E47"/>
  <c r="L47"/>
  <c r="E49"/>
  <c r="L49"/>
  <c r="E59"/>
  <c r="C58"/>
  <c r="E62"/>
  <c r="F63"/>
  <c r="E66"/>
  <c r="C65"/>
  <c r="E74"/>
  <c r="E83"/>
  <c r="C82"/>
  <c r="E90"/>
  <c r="E113"/>
  <c r="D28" i="2"/>
  <c r="D31"/>
  <c r="O31" s="1"/>
  <c r="D33"/>
  <c r="O33" s="1"/>
  <c r="D38"/>
  <c r="O38" s="1"/>
  <c r="D40"/>
  <c r="D44"/>
  <c r="O44"/>
  <c r="D50"/>
  <c r="O50"/>
  <c r="D54"/>
  <c r="O54"/>
  <c r="D55"/>
  <c r="O55"/>
  <c r="D60"/>
  <c r="D62"/>
  <c r="O62" s="1"/>
  <c r="D63"/>
  <c r="O63" s="1"/>
  <c r="D66"/>
  <c r="D70"/>
  <c r="O70"/>
  <c r="D65"/>
  <c r="O65"/>
  <c r="D73"/>
  <c r="G76" i="4"/>
  <c r="G70" s="1"/>
  <c r="D93" i="2"/>
  <c r="O93" s="1"/>
  <c r="D95"/>
  <c r="D97"/>
  <c r="D99"/>
  <c r="O99" s="1"/>
  <c r="D101"/>
  <c r="O101" s="1"/>
  <c r="D103"/>
  <c r="O103" s="1"/>
  <c r="D130"/>
  <c r="O130" s="1"/>
  <c r="D132"/>
  <c r="O132" s="1"/>
  <c r="D134"/>
  <c r="O134" s="1"/>
  <c r="D136"/>
  <c r="O136" s="1"/>
  <c r="D138"/>
  <c r="O138" s="1"/>
  <c r="D140"/>
  <c r="O140" s="1"/>
  <c r="D167"/>
  <c r="D169"/>
  <c r="O169"/>
  <c r="D171"/>
  <c r="O171"/>
  <c r="D173"/>
  <c r="O173"/>
  <c r="D175"/>
  <c r="O175"/>
  <c r="D177"/>
  <c r="O177"/>
  <c r="D30"/>
  <c r="D32"/>
  <c r="O32" s="1"/>
  <c r="D34"/>
  <c r="O34" s="1"/>
  <c r="D37"/>
  <c r="D41"/>
  <c r="O41"/>
  <c r="D43"/>
  <c r="D45"/>
  <c r="O45" s="1"/>
  <c r="D49"/>
  <c r="D51"/>
  <c r="O51"/>
  <c r="D53"/>
  <c r="D57"/>
  <c r="O57" s="1"/>
  <c r="D56"/>
  <c r="O56" s="1"/>
  <c r="D61"/>
  <c r="O61" s="1"/>
  <c r="D68"/>
  <c r="O68" s="1"/>
  <c r="D64"/>
  <c r="O64" s="1"/>
  <c r="D72"/>
  <c r="D71" s="1"/>
  <c r="D92"/>
  <c r="O92" s="1"/>
  <c r="D94"/>
  <c r="O94"/>
  <c r="D96"/>
  <c r="D98"/>
  <c r="O98" s="1"/>
  <c r="D100"/>
  <c r="O100" s="1"/>
  <c r="D102"/>
  <c r="O102" s="1"/>
  <c r="D104"/>
  <c r="O104" s="1"/>
  <c r="D129"/>
  <c r="D131"/>
  <c r="O131"/>
  <c r="D133"/>
  <c r="O133"/>
  <c r="D135"/>
  <c r="O135"/>
  <c r="D137"/>
  <c r="O137"/>
  <c r="D139"/>
  <c r="O139"/>
  <c r="D141"/>
  <c r="O141"/>
  <c r="D166"/>
  <c r="D168"/>
  <c r="O168" s="1"/>
  <c r="D170"/>
  <c r="O170" s="1"/>
  <c r="D172"/>
  <c r="O172" s="1"/>
  <c r="D174"/>
  <c r="O174" s="1"/>
  <c r="D176"/>
  <c r="O176" s="1"/>
  <c r="D178"/>
  <c r="O178" s="1"/>
  <c r="J87" i="22"/>
  <c r="K99"/>
  <c r="H87"/>
  <c r="H57"/>
  <c r="K61"/>
  <c r="G87"/>
  <c r="F113"/>
  <c r="I113"/>
  <c r="E111"/>
  <c r="I90"/>
  <c r="F90"/>
  <c r="I62"/>
  <c r="E61"/>
  <c r="F62"/>
  <c r="L101"/>
  <c r="C100"/>
  <c r="I52" i="8"/>
  <c r="J52"/>
  <c r="K52"/>
  <c r="L52"/>
  <c r="M52"/>
  <c r="N52"/>
  <c r="O52"/>
  <c r="P52"/>
  <c r="Q52"/>
  <c r="H48"/>
  <c r="H56"/>
  <c r="F96"/>
  <c r="H3" i="6"/>
  <c r="H2"/>
  <c r="J3"/>
  <c r="J2"/>
  <c r="L3"/>
  <c r="L2"/>
  <c r="M3"/>
  <c r="M2"/>
  <c r="N3"/>
  <c r="N2"/>
  <c r="M61" i="1"/>
  <c r="M57" s="1"/>
  <c r="M50" s="1"/>
  <c r="C12" i="5" s="1"/>
  <c r="G16" i="10"/>
  <c r="G46" i="9"/>
  <c r="G49" i="8"/>
  <c r="G48" s="1"/>
  <c r="G56" s="1"/>
  <c r="P209" i="2"/>
  <c r="P206"/>
  <c r="P204"/>
  <c r="P200"/>
  <c r="P198"/>
  <c r="P196"/>
  <c r="P194"/>
  <c r="P192"/>
  <c r="P190"/>
  <c r="P188"/>
  <c r="P186"/>
  <c r="P183"/>
  <c r="P181"/>
  <c r="P163"/>
  <c r="P161"/>
  <c r="P159"/>
  <c r="P157"/>
  <c r="P155"/>
  <c r="P153"/>
  <c r="P151"/>
  <c r="P148"/>
  <c r="P146"/>
  <c r="P144"/>
  <c r="P126"/>
  <c r="P124"/>
  <c r="P122"/>
  <c r="P120"/>
  <c r="P118"/>
  <c r="P116"/>
  <c r="P114"/>
  <c r="P111"/>
  <c r="P109"/>
  <c r="P107"/>
  <c r="P89"/>
  <c r="P87"/>
  <c r="P85"/>
  <c r="P82"/>
  <c r="P80"/>
  <c r="P78"/>
  <c r="P73"/>
  <c r="G21" i="5"/>
  <c r="K1" i="6"/>
  <c r="L1" s="1"/>
  <c r="M1"/>
  <c r="N1" s="1"/>
  <c r="K21" i="5" s="1"/>
  <c r="H21"/>
  <c r="D21"/>
  <c r="E21"/>
  <c r="E28" s="1"/>
  <c r="E25"/>
  <c r="E41" s="1"/>
  <c r="E63" s="1"/>
  <c r="E62" i="11" s="1"/>
  <c r="P40" i="9"/>
  <c r="O39"/>
  <c r="J20" i="3"/>
  <c r="I23"/>
  <c r="I12"/>
  <c r="I95" s="1"/>
  <c r="P102" i="9"/>
  <c r="O70" i="3"/>
  <c r="O69" s="1"/>
  <c r="O65" s="1"/>
  <c r="O64" s="1"/>
  <c r="N70"/>
  <c r="N69" s="1"/>
  <c r="N65" s="1"/>
  <c r="H87" i="1"/>
  <c r="G87"/>
  <c r="E39"/>
  <c r="L39"/>
  <c r="E41"/>
  <c r="D118" i="7" s="1"/>
  <c r="L41" i="1"/>
  <c r="E44"/>
  <c r="M23" i="4" s="1"/>
  <c r="J23" s="1"/>
  <c r="L44" i="1"/>
  <c r="E46"/>
  <c r="F46" s="1"/>
  <c r="L46"/>
  <c r="E48"/>
  <c r="F48" s="1"/>
  <c r="L48"/>
  <c r="E51"/>
  <c r="L51"/>
  <c r="E79"/>
  <c r="M49" i="4" s="1"/>
  <c r="J49" s="1"/>
  <c r="J48" s="1"/>
  <c r="C78" i="1"/>
  <c r="J28" i="22"/>
  <c r="J27"/>
  <c r="K29"/>
  <c r="L111"/>
  <c r="G27"/>
  <c r="I101"/>
  <c r="E100"/>
  <c r="F101"/>
  <c r="I65"/>
  <c r="F65"/>
  <c r="C111"/>
  <c r="L90"/>
  <c r="L62"/>
  <c r="C61"/>
  <c r="C57" s="1"/>
  <c r="L57" s="1"/>
  <c r="C50"/>
  <c r="L50" s="1"/>
  <c r="I48" i="8"/>
  <c r="J48"/>
  <c r="J56" s="1"/>
  <c r="K51"/>
  <c r="L51"/>
  <c r="M51"/>
  <c r="N51"/>
  <c r="O51"/>
  <c r="P51"/>
  <c r="Q51"/>
  <c r="Q48"/>
  <c r="F83"/>
  <c r="F114"/>
  <c r="Q3" i="6"/>
  <c r="Q2"/>
  <c r="G166" i="10"/>
  <c r="G145"/>
  <c r="G55"/>
  <c r="T28" i="4"/>
  <c r="T25" s="1"/>
  <c r="T9" s="1"/>
  <c r="G35" i="8"/>
  <c r="G34" s="1"/>
  <c r="G130" s="1"/>
  <c r="T59" i="4"/>
  <c r="B9" i="23" s="1"/>
  <c r="G32" i="3"/>
  <c r="G11"/>
  <c r="G86"/>
  <c r="G77"/>
  <c r="N64"/>
  <c r="P114" i="9"/>
  <c r="N55" i="3"/>
  <c r="P94" i="9"/>
  <c r="L95"/>
  <c r="K93"/>
  <c r="K92"/>
  <c r="F74" i="8"/>
  <c r="F81"/>
  <c r="F115" s="1"/>
  <c r="F146"/>
  <c r="G75"/>
  <c r="G93"/>
  <c r="H93" s="1"/>
  <c r="I93" s="1"/>
  <c r="I91" s="1"/>
  <c r="L106" i="9"/>
  <c r="K105"/>
  <c r="L52" i="3"/>
  <c r="B42" i="46"/>
  <c r="M54" i="9"/>
  <c r="N54"/>
  <c r="O54"/>
  <c r="P54"/>
  <c r="Q54"/>
  <c r="R54"/>
  <c r="S54"/>
  <c r="T54"/>
  <c r="U54"/>
  <c r="V54"/>
  <c r="W54"/>
  <c r="L52"/>
  <c r="M39"/>
  <c r="B31" i="46"/>
  <c r="B29" s="1"/>
  <c r="E29" s="1"/>
  <c r="M37" i="9"/>
  <c r="B20" i="46"/>
  <c r="M23" i="9"/>
  <c r="B19" i="46"/>
  <c r="D19" s="1"/>
  <c r="F19" s="1"/>
  <c r="M22" i="9"/>
  <c r="B18" i="46"/>
  <c r="M21" i="9"/>
  <c r="B17" i="46"/>
  <c r="E17" s="1"/>
  <c r="M20" i="9"/>
  <c r="B16" i="46"/>
  <c r="M19" i="9"/>
  <c r="B25" i="46"/>
  <c r="M29" i="9"/>
  <c r="N29"/>
  <c r="O29"/>
  <c r="P29"/>
  <c r="Q29"/>
  <c r="R29"/>
  <c r="S29"/>
  <c r="T29"/>
  <c r="U29"/>
  <c r="V29"/>
  <c r="W29"/>
  <c r="L27"/>
  <c r="B22" i="46"/>
  <c r="M24" i="9"/>
  <c r="K16" i="3"/>
  <c r="B14" i="46"/>
  <c r="M16" i="9"/>
  <c r="H34" i="3"/>
  <c r="H33" s="1"/>
  <c r="I15" i="10"/>
  <c r="I14"/>
  <c r="H54" i="3"/>
  <c r="J120" i="9"/>
  <c r="J117"/>
  <c r="I116"/>
  <c r="H58" i="3"/>
  <c r="J115" i="9"/>
  <c r="I103"/>
  <c r="I79"/>
  <c r="H25" i="3"/>
  <c r="K147" i="10"/>
  <c r="J146"/>
  <c r="N190"/>
  <c r="M187"/>
  <c r="L41" i="3"/>
  <c r="C90" i="1"/>
  <c r="H13" i="5"/>
  <c r="I35" i="9"/>
  <c r="I12"/>
  <c r="I11"/>
  <c r="L104"/>
  <c r="K103"/>
  <c r="M82"/>
  <c r="N83"/>
  <c r="B34" i="46"/>
  <c r="Y30" i="4"/>
  <c r="Y29" s="1"/>
  <c r="Y28" s="1"/>
  <c r="Y25" s="1"/>
  <c r="Y9" s="1"/>
  <c r="M44" i="9"/>
  <c r="L43"/>
  <c r="K24" i="3"/>
  <c r="B15" i="46"/>
  <c r="M17" i="9"/>
  <c r="B13" i="46"/>
  <c r="M14" i="9"/>
  <c r="H23" i="3"/>
  <c r="H12" s="1"/>
  <c r="L36" i="9"/>
  <c r="J12" i="5"/>
  <c r="J64" i="10"/>
  <c r="K65"/>
  <c r="L131"/>
  <c r="K130"/>
  <c r="K132"/>
  <c r="L132"/>
  <c r="M132"/>
  <c r="N132"/>
  <c r="O132"/>
  <c r="P132"/>
  <c r="Q132"/>
  <c r="R132"/>
  <c r="S132"/>
  <c r="T132"/>
  <c r="U132"/>
  <c r="V132"/>
  <c r="W132"/>
  <c r="J130"/>
  <c r="K161"/>
  <c r="J160"/>
  <c r="P188"/>
  <c r="O189"/>
  <c r="N187"/>
  <c r="M41" i="3"/>
  <c r="P129" i="2"/>
  <c r="P131"/>
  <c r="P133"/>
  <c r="P135"/>
  <c r="P137"/>
  <c r="P139"/>
  <c r="P141"/>
  <c r="P166"/>
  <c r="P168"/>
  <c r="P170"/>
  <c r="P172"/>
  <c r="P174"/>
  <c r="P176"/>
  <c r="P178"/>
  <c r="P92"/>
  <c r="P93"/>
  <c r="P94"/>
  <c r="P95"/>
  <c r="P96"/>
  <c r="P97"/>
  <c r="P98"/>
  <c r="P99"/>
  <c r="P100"/>
  <c r="P101"/>
  <c r="P102"/>
  <c r="P103"/>
  <c r="P104"/>
  <c r="P130"/>
  <c r="P134"/>
  <c r="P138"/>
  <c r="P169"/>
  <c r="P173"/>
  <c r="P177"/>
  <c r="P132"/>
  <c r="P136"/>
  <c r="P128" s="1"/>
  <c r="P140"/>
  <c r="P167"/>
  <c r="P165" s="1"/>
  <c r="P171"/>
  <c r="P175"/>
  <c r="M91" i="1"/>
  <c r="M93"/>
  <c r="M95"/>
  <c r="M97"/>
  <c r="M94"/>
  <c r="M98"/>
  <c r="M92"/>
  <c r="M96"/>
  <c r="M90" s="1"/>
  <c r="O62" i="9"/>
  <c r="O61"/>
  <c r="O60"/>
  <c r="J105"/>
  <c r="J103"/>
  <c r="D48" i="46"/>
  <c r="F48" s="1"/>
  <c r="E48"/>
  <c r="D47"/>
  <c r="F47"/>
  <c r="E47"/>
  <c r="D46"/>
  <c r="F46" s="1"/>
  <c r="E46"/>
  <c r="D43"/>
  <c r="F43"/>
  <c r="E43"/>
  <c r="M53" i="9"/>
  <c r="D39" i="46"/>
  <c r="F39"/>
  <c r="E39"/>
  <c r="K50" i="9"/>
  <c r="M49"/>
  <c r="M28"/>
  <c r="N21" i="10"/>
  <c r="O34"/>
  <c r="Q32"/>
  <c r="W75" i="9"/>
  <c r="W74"/>
  <c r="V22" i="3"/>
  <c r="V74" i="9"/>
  <c r="U22" i="3"/>
  <c r="D51" i="46"/>
  <c r="F51"/>
  <c r="B50"/>
  <c r="E51"/>
  <c r="D41"/>
  <c r="F41"/>
  <c r="E41"/>
  <c r="D37"/>
  <c r="F37"/>
  <c r="E37"/>
  <c r="N26" i="10"/>
  <c r="O27"/>
  <c r="N23"/>
  <c r="O24"/>
  <c r="P22"/>
  <c r="O21"/>
  <c r="S48"/>
  <c r="Q42" i="3"/>
  <c r="W40" i="10"/>
  <c r="V45" i="3"/>
  <c r="U45"/>
  <c r="N33" i="10"/>
  <c r="M31"/>
  <c r="L37" i="3"/>
  <c r="W15" i="9"/>
  <c r="R38" i="10"/>
  <c r="L37"/>
  <c r="K35"/>
  <c r="W73" i="9"/>
  <c r="V70"/>
  <c r="U30" i="3"/>
  <c r="M36" i="10"/>
  <c r="L35"/>
  <c r="K31"/>
  <c r="K30"/>
  <c r="J41"/>
  <c r="U51" i="3"/>
  <c r="W72" i="9"/>
  <c r="AJ50" i="4"/>
  <c r="AJ48" s="1"/>
  <c r="AI50"/>
  <c r="AI48" s="1"/>
  <c r="W70" i="9"/>
  <c r="V30" i="3"/>
  <c r="M66" i="9"/>
  <c r="L29" i="3"/>
  <c r="N69" i="9"/>
  <c r="W56"/>
  <c r="W70" i="10"/>
  <c r="V70"/>
  <c r="B49" i="46"/>
  <c r="M63" i="9"/>
  <c r="T18"/>
  <c r="AF14" i="4"/>
  <c r="W17" i="10"/>
  <c r="W80" i="9"/>
  <c r="V79"/>
  <c r="M26" i="10"/>
  <c r="M23"/>
  <c r="M20"/>
  <c r="M16"/>
  <c r="Q143" i="3"/>
  <c r="S143"/>
  <c r="K38"/>
  <c r="K42" i="10"/>
  <c r="K41"/>
  <c r="L31"/>
  <c r="L30"/>
  <c r="M43"/>
  <c r="L42"/>
  <c r="L41"/>
  <c r="J31"/>
  <c r="J30"/>
  <c r="J29"/>
  <c r="W67" i="9"/>
  <c r="U73" i="10"/>
  <c r="AJ76" i="4"/>
  <c r="W52" i="10"/>
  <c r="V49" i="3"/>
  <c r="V9"/>
  <c r="V124"/>
  <c r="O63" i="10"/>
  <c r="P64" i="9"/>
  <c r="AJ8" i="4"/>
  <c r="AJ69"/>
  <c r="B21" i="46"/>
  <c r="M25" i="9"/>
  <c r="B26" i="46"/>
  <c r="M30" i="9"/>
  <c r="N30"/>
  <c r="O30"/>
  <c r="P30"/>
  <c r="Q30"/>
  <c r="R30"/>
  <c r="S30"/>
  <c r="T30"/>
  <c r="U30"/>
  <c r="V30"/>
  <c r="W30"/>
  <c r="Q87" i="10"/>
  <c r="P72"/>
  <c r="Q83"/>
  <c r="R83"/>
  <c r="N91"/>
  <c r="O91"/>
  <c r="M86"/>
  <c r="N86"/>
  <c r="P31" i="5"/>
  <c r="P30" s="1"/>
  <c r="R184" i="10"/>
  <c r="N25" i="5"/>
  <c r="N41" s="1"/>
  <c r="N72" i="10"/>
  <c r="L17" i="5"/>
  <c r="Z71" i="4"/>
  <c r="M37" i="8" s="1"/>
  <c r="L34" i="3"/>
  <c r="H95"/>
  <c r="G25" i="2"/>
  <c r="H25"/>
  <c r="H26"/>
  <c r="Q56" i="8"/>
  <c r="P139" i="3"/>
  <c r="S83" i="10"/>
  <c r="R72"/>
  <c r="N25" i="9"/>
  <c r="Z20" i="4"/>
  <c r="P63" i="10"/>
  <c r="Q64" i="9"/>
  <c r="P50" i="8"/>
  <c r="I19" i="5"/>
  <c r="W73" i="4"/>
  <c r="J39" i="8"/>
  <c r="J36" s="1"/>
  <c r="J22" s="1"/>
  <c r="J15" i="10"/>
  <c r="J14"/>
  <c r="M42"/>
  <c r="M41"/>
  <c r="L38" i="3"/>
  <c r="N43" i="10"/>
  <c r="Q12" i="23"/>
  <c r="U15" i="5"/>
  <c r="V124" i="10"/>
  <c r="V123"/>
  <c r="M97"/>
  <c r="M93"/>
  <c r="M71" s="1"/>
  <c r="M56" s="1"/>
  <c r="N63" i="9"/>
  <c r="M59"/>
  <c r="O69"/>
  <c r="N66"/>
  <c r="M29" i="3"/>
  <c r="K29" i="10"/>
  <c r="N36"/>
  <c r="L39" i="3"/>
  <c r="L36" s="1"/>
  <c r="L33" s="1"/>
  <c r="S38" i="10"/>
  <c r="O33"/>
  <c r="N31"/>
  <c r="M37" i="3"/>
  <c r="M36" s="1"/>
  <c r="T48" i="10"/>
  <c r="R42" i="3"/>
  <c r="Q22" i="10"/>
  <c r="P21"/>
  <c r="M18" i="5"/>
  <c r="M35" i="3"/>
  <c r="AA72" i="4"/>
  <c r="N38" i="8"/>
  <c r="D50" i="46"/>
  <c r="F50"/>
  <c r="E50"/>
  <c r="M27" i="9"/>
  <c r="M110" i="10"/>
  <c r="N28" i="9"/>
  <c r="L50"/>
  <c r="K47"/>
  <c r="K58" i="10"/>
  <c r="O94"/>
  <c r="P60" i="9"/>
  <c r="O95" i="10"/>
  <c r="P62" i="9"/>
  <c r="L65" i="10"/>
  <c r="K64"/>
  <c r="M13" i="9"/>
  <c r="N14"/>
  <c r="L14" i="3"/>
  <c r="Z11" i="4"/>
  <c r="L17" i="3"/>
  <c r="N17" i="9"/>
  <c r="Z13" i="4"/>
  <c r="M30" i="8" s="1"/>
  <c r="M87"/>
  <c r="N82" i="9"/>
  <c r="O83"/>
  <c r="J57" i="3"/>
  <c r="K102" i="8"/>
  <c r="K96" s="1"/>
  <c r="L90" i="1"/>
  <c r="O190" i="10"/>
  <c r="N44" i="8"/>
  <c r="N41" s="1"/>
  <c r="L147" i="10"/>
  <c r="K146"/>
  <c r="I124"/>
  <c r="I123" s="1"/>
  <c r="H15" i="5"/>
  <c r="D12" i="23"/>
  <c r="K115" i="9"/>
  <c r="I58" i="3"/>
  <c r="J104" i="8"/>
  <c r="J96" s="1"/>
  <c r="H56" i="3"/>
  <c r="I105" i="8"/>
  <c r="K120" i="9"/>
  <c r="I54" i="3"/>
  <c r="I51" s="1"/>
  <c r="J98" i="8"/>
  <c r="J125"/>
  <c r="N24" i="9"/>
  <c r="L16" i="3"/>
  <c r="L110" i="10"/>
  <c r="L13" i="9"/>
  <c r="K19" i="3"/>
  <c r="B23" i="46"/>
  <c r="D23" s="1"/>
  <c r="F23" s="1"/>
  <c r="D17"/>
  <c r="F17" s="1"/>
  <c r="E19"/>
  <c r="D31"/>
  <c r="F31" s="1"/>
  <c r="K27" i="3"/>
  <c r="L59" i="8"/>
  <c r="L58" s="1"/>
  <c r="L64"/>
  <c r="M106" i="9"/>
  <c r="L105"/>
  <c r="L124" i="8"/>
  <c r="H75"/>
  <c r="G74"/>
  <c r="G81"/>
  <c r="G95"/>
  <c r="M95" i="9"/>
  <c r="L93"/>
  <c r="L92"/>
  <c r="G92" i="3"/>
  <c r="L78" i="1"/>
  <c r="L48" i="4"/>
  <c r="I21" i="5"/>
  <c r="B16" i="23"/>
  <c r="G42" i="9"/>
  <c r="G35"/>
  <c r="G12"/>
  <c r="G11"/>
  <c r="L100" i="22"/>
  <c r="C99"/>
  <c r="E57"/>
  <c r="E50" s="1"/>
  <c r="I50" s="1"/>
  <c r="F61"/>
  <c r="H50"/>
  <c r="K57"/>
  <c r="I61"/>
  <c r="O166" i="2"/>
  <c r="O96"/>
  <c r="C68" i="7"/>
  <c r="D29" i="2"/>
  <c r="O29" s="1"/>
  <c r="O30"/>
  <c r="O97"/>
  <c r="C61" i="7"/>
  <c r="C60" s="1"/>
  <c r="O66" i="2"/>
  <c r="C109" i="7"/>
  <c r="C108"/>
  <c r="G108" s="1"/>
  <c r="D39" i="2"/>
  <c r="O40"/>
  <c r="O28"/>
  <c r="F90" i="1"/>
  <c r="D96" i="7"/>
  <c r="I90" i="1"/>
  <c r="D119" i="7"/>
  <c r="F119" s="1"/>
  <c r="F83" i="1"/>
  <c r="E82"/>
  <c r="I83"/>
  <c r="M53" i="4"/>
  <c r="L35"/>
  <c r="L65" i="1"/>
  <c r="C58" i="7"/>
  <c r="L58" i="1"/>
  <c r="L29" i="4"/>
  <c r="L10"/>
  <c r="L29" i="1"/>
  <c r="K61"/>
  <c r="G145" i="7"/>
  <c r="C91"/>
  <c r="E91"/>
  <c r="G88"/>
  <c r="E92"/>
  <c r="E116"/>
  <c r="G118"/>
  <c r="G122"/>
  <c r="F42"/>
  <c r="O72" i="2"/>
  <c r="L71"/>
  <c r="C49" i="3"/>
  <c r="N71" i="2"/>
  <c r="M76" i="4"/>
  <c r="F76"/>
  <c r="J74" i="2"/>
  <c r="L75"/>
  <c r="N75"/>
  <c r="E24" i="3"/>
  <c r="E30"/>
  <c r="E25"/>
  <c r="G83" i="7"/>
  <c r="F83"/>
  <c r="G89"/>
  <c r="F89"/>
  <c r="D10" i="4"/>
  <c r="C81" i="7"/>
  <c r="C80"/>
  <c r="C30"/>
  <c r="S19" i="12"/>
  <c r="L24"/>
  <c r="L25"/>
  <c r="W50" i="10"/>
  <c r="V44" i="3"/>
  <c r="U44"/>
  <c r="O73" i="2"/>
  <c r="C12" i="3"/>
  <c r="G81" i="7"/>
  <c r="F81"/>
  <c r="G84"/>
  <c r="F84"/>
  <c r="K31" i="4"/>
  <c r="K28" s="1"/>
  <c r="K25"/>
  <c r="K9" s="1"/>
  <c r="P80"/>
  <c r="I31"/>
  <c r="I28"/>
  <c r="I25" s="1"/>
  <c r="I9" s="1"/>
  <c r="K71" i="8"/>
  <c r="K166" i="10"/>
  <c r="Q72"/>
  <c r="N138" i="3"/>
  <c r="Q32" i="5"/>
  <c r="Q140" i="3"/>
  <c r="Q31" i="5"/>
  <c r="S184" i="10"/>
  <c r="R183"/>
  <c r="R182"/>
  <c r="M14" i="23"/>
  <c r="Q68" i="3"/>
  <c r="Q66" s="1"/>
  <c r="Q65" s="1"/>
  <c r="Q64" s="1"/>
  <c r="Q47"/>
  <c r="Q46" s="1"/>
  <c r="P91" i="10"/>
  <c r="O86"/>
  <c r="R87"/>
  <c r="D26" i="46"/>
  <c r="F26"/>
  <c r="E26"/>
  <c r="D21"/>
  <c r="F21" s="1"/>
  <c r="E21"/>
  <c r="V73" i="10"/>
  <c r="L29"/>
  <c r="L18" i="5"/>
  <c r="L35" i="3"/>
  <c r="Z72" i="4"/>
  <c r="M38" i="8"/>
  <c r="V52" i="3"/>
  <c r="V51"/>
  <c r="W79" i="9"/>
  <c r="U18"/>
  <c r="AG14" i="4"/>
  <c r="S18" i="3"/>
  <c r="K40"/>
  <c r="K36" s="1"/>
  <c r="K33" s="1"/>
  <c r="M37" i="10"/>
  <c r="P24"/>
  <c r="O23"/>
  <c r="O20"/>
  <c r="O16"/>
  <c r="P27"/>
  <c r="O26"/>
  <c r="R32"/>
  <c r="P34"/>
  <c r="N20"/>
  <c r="N16"/>
  <c r="N49" i="9"/>
  <c r="M62" i="8"/>
  <c r="M61"/>
  <c r="N53" i="9"/>
  <c r="M52"/>
  <c r="I57" i="3"/>
  <c r="J102" i="8"/>
  <c r="O96" i="10"/>
  <c r="P61" i="9"/>
  <c r="P189" i="10"/>
  <c r="O43" i="8"/>
  <c r="Q188" i="10"/>
  <c r="P42" i="8"/>
  <c r="K160" i="10"/>
  <c r="L161"/>
  <c r="M131"/>
  <c r="L130"/>
  <c r="J56"/>
  <c r="B30" i="46"/>
  <c r="K12" i="5"/>
  <c r="M36" i="9"/>
  <c r="K21" i="3"/>
  <c r="K20" s="1"/>
  <c r="Y26" i="4"/>
  <c r="B12" i="46"/>
  <c r="D15"/>
  <c r="F15" s="1"/>
  <c r="E15"/>
  <c r="N44" i="9"/>
  <c r="M43"/>
  <c r="L24" i="3"/>
  <c r="Z30" i="4"/>
  <c r="Z29" s="1"/>
  <c r="Z28"/>
  <c r="D34" i="46"/>
  <c r="F34"/>
  <c r="B33"/>
  <c r="E34"/>
  <c r="L53" i="3"/>
  <c r="M100" i="8"/>
  <c r="M123"/>
  <c r="L103" i="9"/>
  <c r="M104"/>
  <c r="J145" i="10"/>
  <c r="I60" i="3" s="1"/>
  <c r="I59" s="1"/>
  <c r="H57"/>
  <c r="I102" i="8"/>
  <c r="I96" s="1"/>
  <c r="K117" i="9"/>
  <c r="J116"/>
  <c r="L15" i="3"/>
  <c r="N16" i="9"/>
  <c r="Z12" i="4"/>
  <c r="K13" i="3"/>
  <c r="D22" i="46"/>
  <c r="F22"/>
  <c r="E22"/>
  <c r="N19" i="9"/>
  <c r="Z15" i="4"/>
  <c r="L19" i="3"/>
  <c r="L13" s="1"/>
  <c r="N20" i="9"/>
  <c r="Z16" i="4"/>
  <c r="N21" i="9"/>
  <c r="Z17" i="4"/>
  <c r="N22" i="9"/>
  <c r="Z18" i="4"/>
  <c r="N23" i="9"/>
  <c r="Z19" i="4"/>
  <c r="N37" i="9"/>
  <c r="Z27" i="4"/>
  <c r="K91" i="9"/>
  <c r="J67" i="3"/>
  <c r="O55"/>
  <c r="P103" i="8"/>
  <c r="P126"/>
  <c r="G156" i="3"/>
  <c r="G71"/>
  <c r="G74"/>
  <c r="I100" i="22"/>
  <c r="E99"/>
  <c r="F100"/>
  <c r="F79" i="1"/>
  <c r="M26" i="4"/>
  <c r="I46" i="1"/>
  <c r="F44"/>
  <c r="F41"/>
  <c r="F39"/>
  <c r="K87"/>
  <c r="P39" i="9"/>
  <c r="Q40"/>
  <c r="J21" i="5"/>
  <c r="T71" i="4"/>
  <c r="G14" i="10"/>
  <c r="G13" s="1"/>
  <c r="C13" i="5"/>
  <c r="L61" i="22"/>
  <c r="K87"/>
  <c r="D128" i="2"/>
  <c r="O128" s="1"/>
  <c r="O129"/>
  <c r="D52"/>
  <c r="O52"/>
  <c r="O53"/>
  <c r="D48"/>
  <c r="O49"/>
  <c r="D42"/>
  <c r="O43"/>
  <c r="D36"/>
  <c r="O36" s="1"/>
  <c r="O37"/>
  <c r="O95"/>
  <c r="C53" i="7"/>
  <c r="C52"/>
  <c r="C55" s="1"/>
  <c r="G55"/>
  <c r="D59" i="2"/>
  <c r="D58"/>
  <c r="O58" s="1"/>
  <c r="O60"/>
  <c r="I113" i="1"/>
  <c r="E111"/>
  <c r="F113"/>
  <c r="L52" i="4"/>
  <c r="L82" i="1"/>
  <c r="F74"/>
  <c r="I74"/>
  <c r="M44" i="4"/>
  <c r="E65" i="1"/>
  <c r="F66"/>
  <c r="I66"/>
  <c r="M36" i="4"/>
  <c r="J36" s="1"/>
  <c r="E61" i="1"/>
  <c r="F62"/>
  <c r="I62"/>
  <c r="D51" i="7"/>
  <c r="D50" s="1"/>
  <c r="M32" i="4"/>
  <c r="F59" i="1"/>
  <c r="I59"/>
  <c r="E58"/>
  <c r="I58" s="1"/>
  <c r="M30" i="4"/>
  <c r="I49" i="1"/>
  <c r="F49"/>
  <c r="I47"/>
  <c r="F47"/>
  <c r="I45"/>
  <c r="F45"/>
  <c r="M24" i="4"/>
  <c r="I43" i="1"/>
  <c r="F43"/>
  <c r="M22" i="4"/>
  <c r="J22" s="1"/>
  <c r="I40" i="1"/>
  <c r="M20" i="4"/>
  <c r="J20" s="1"/>
  <c r="F40" i="1"/>
  <c r="F38"/>
  <c r="I38"/>
  <c r="M18" i="4"/>
  <c r="J18" s="1"/>
  <c r="F32" i="1"/>
  <c r="I32"/>
  <c r="M12" i="4"/>
  <c r="G27" i="1"/>
  <c r="N9" i="4"/>
  <c r="H27" i="1"/>
  <c r="J28"/>
  <c r="J27"/>
  <c r="K50"/>
  <c r="F117" i="7"/>
  <c r="F123"/>
  <c r="G123"/>
  <c r="G99"/>
  <c r="F99"/>
  <c r="F120"/>
  <c r="G120"/>
  <c r="C61" i="1"/>
  <c r="L73" i="4"/>
  <c r="E73"/>
  <c r="D41" i="7" s="1"/>
  <c r="D38" s="1"/>
  <c r="H46" i="2"/>
  <c r="C59" i="3"/>
  <c r="E61"/>
  <c r="F156" i="7"/>
  <c r="E31"/>
  <c r="E82"/>
  <c r="E184"/>
  <c r="F32"/>
  <c r="G32"/>
  <c r="F124"/>
  <c r="G124"/>
  <c r="D182"/>
  <c r="U12" i="12"/>
  <c r="U17"/>
  <c r="S17"/>
  <c r="Q70" i="4"/>
  <c r="D37" i="8"/>
  <c r="D36" s="1"/>
  <c r="E71" i="4"/>
  <c r="L70"/>
  <c r="L27" i="2"/>
  <c r="C34" i="3"/>
  <c r="M71" i="4"/>
  <c r="J26" i="2"/>
  <c r="N27"/>
  <c r="F41" i="7"/>
  <c r="L46" i="2"/>
  <c r="F10" i="4"/>
  <c r="E35" i="7" s="1"/>
  <c r="E182"/>
  <c r="F30"/>
  <c r="G30"/>
  <c r="F33"/>
  <c r="E185"/>
  <c r="G33"/>
  <c r="F31" i="4"/>
  <c r="F28" s="1"/>
  <c r="F25"/>
  <c r="D28"/>
  <c r="D25" s="1"/>
  <c r="C37" i="7"/>
  <c r="C180" s="1"/>
  <c r="C179" s="1"/>
  <c r="F70"/>
  <c r="C115" i="8"/>
  <c r="C146" s="1"/>
  <c r="G26"/>
  <c r="W70" i="4"/>
  <c r="J37" i="8"/>
  <c r="L35"/>
  <c r="L34" s="1"/>
  <c r="L26" s="1"/>
  <c r="N34" i="3"/>
  <c r="AB71" i="4"/>
  <c r="N17" i="5"/>
  <c r="I128" i="3"/>
  <c r="L26" i="2"/>
  <c r="D39" i="7"/>
  <c r="G82"/>
  <c r="K27" i="1"/>
  <c r="E18" i="4"/>
  <c r="E20"/>
  <c r="E22"/>
  <c r="J24"/>
  <c r="F58" i="1"/>
  <c r="M29" i="4"/>
  <c r="F51" i="7"/>
  <c r="J35" i="4"/>
  <c r="J31" s="1"/>
  <c r="E36"/>
  <c r="E35" s="1"/>
  <c r="E31"/>
  <c r="I111" i="1"/>
  <c r="M28"/>
  <c r="R40" i="9"/>
  <c r="Q39"/>
  <c r="J26" i="4"/>
  <c r="O37" i="9"/>
  <c r="AA27" i="4"/>
  <c r="O23" i="9"/>
  <c r="AA19" i="4"/>
  <c r="O22" i="9"/>
  <c r="AA18" i="4"/>
  <c r="O21" i="9"/>
  <c r="AA17" i="4"/>
  <c r="O20" i="9"/>
  <c r="AA16" i="4"/>
  <c r="I56" i="3"/>
  <c r="J105" i="8"/>
  <c r="K57" i="3"/>
  <c r="L102" i="8"/>
  <c r="N131" i="10"/>
  <c r="M130"/>
  <c r="Q61" i="9"/>
  <c r="P96" i="10"/>
  <c r="N69"/>
  <c r="N62" i="8"/>
  <c r="N61" s="1"/>
  <c r="N52" i="9"/>
  <c r="O53"/>
  <c r="O49"/>
  <c r="Q34" i="10"/>
  <c r="P26"/>
  <c r="Q27"/>
  <c r="P23"/>
  <c r="Q24"/>
  <c r="N37"/>
  <c r="L40" i="3"/>
  <c r="V18" i="9"/>
  <c r="T18" i="3"/>
  <c r="AH14" i="4"/>
  <c r="V15" i="5"/>
  <c r="R12" i="23"/>
  <c r="W124" i="10"/>
  <c r="W123" s="1"/>
  <c r="K19" i="5"/>
  <c r="Y73" i="4"/>
  <c r="L15" i="10"/>
  <c r="L14"/>
  <c r="S87"/>
  <c r="Q30" i="5"/>
  <c r="Q139" i="3"/>
  <c r="C95"/>
  <c r="E8" i="13" s="1"/>
  <c r="C11" i="3"/>
  <c r="C86" s="1"/>
  <c r="J53" i="4"/>
  <c r="J52"/>
  <c r="F82" i="1"/>
  <c r="M52" i="4"/>
  <c r="E87" i="1"/>
  <c r="H28" i="22"/>
  <c r="K50"/>
  <c r="L99"/>
  <c r="C87"/>
  <c r="L87" s="1"/>
  <c r="N95" i="9"/>
  <c r="M93"/>
  <c r="M92"/>
  <c r="M105"/>
  <c r="N106"/>
  <c r="M124" i="8"/>
  <c r="O24" i="9"/>
  <c r="M16" i="3"/>
  <c r="L115" i="9"/>
  <c r="J58" i="3"/>
  <c r="K104" i="8"/>
  <c r="K145" i="10"/>
  <c r="O82" i="9"/>
  <c r="P83"/>
  <c r="P82"/>
  <c r="O14"/>
  <c r="AA11" i="4"/>
  <c r="M14" i="3"/>
  <c r="N85" i="8"/>
  <c r="M65" i="10"/>
  <c r="L64"/>
  <c r="K55" i="8"/>
  <c r="K53" s="1"/>
  <c r="K57" i="10"/>
  <c r="K56" s="1"/>
  <c r="B38" i="46"/>
  <c r="M50" i="9"/>
  <c r="L47"/>
  <c r="L58" i="10"/>
  <c r="P20"/>
  <c r="P16"/>
  <c r="P33"/>
  <c r="O31"/>
  <c r="N37" i="3"/>
  <c r="M35" i="10"/>
  <c r="M30"/>
  <c r="M29"/>
  <c r="P69" i="9"/>
  <c r="O66"/>
  <c r="N29" i="3"/>
  <c r="N97" i="10"/>
  <c r="N93" s="1"/>
  <c r="O63" i="9"/>
  <c r="N59"/>
  <c r="O25"/>
  <c r="AA20" i="4"/>
  <c r="T83" i="10"/>
  <c r="S72"/>
  <c r="M70" i="4"/>
  <c r="F71"/>
  <c r="E183" i="7"/>
  <c r="C62" i="3"/>
  <c r="E60"/>
  <c r="K28" i="1"/>
  <c r="J12" i="4"/>
  <c r="E12" s="1"/>
  <c r="D82" i="7" s="1"/>
  <c r="J30" i="4"/>
  <c r="F61" i="1"/>
  <c r="I61"/>
  <c r="M31" i="4"/>
  <c r="F65" i="1"/>
  <c r="I65"/>
  <c r="D58" i="7"/>
  <c r="F58" s="1"/>
  <c r="M35" i="4"/>
  <c r="O59" i="2"/>
  <c r="K72" i="4"/>
  <c r="D72" s="1"/>
  <c r="C40" i="7"/>
  <c r="G40" s="1"/>
  <c r="O42" i="2"/>
  <c r="T70" i="4"/>
  <c r="G37" i="8"/>
  <c r="G36"/>
  <c r="G22" s="1"/>
  <c r="F99" i="22"/>
  <c r="I99"/>
  <c r="K101" i="8"/>
  <c r="O19" i="9"/>
  <c r="AA15" i="4"/>
  <c r="O16" i="9"/>
  <c r="AA12" i="4"/>
  <c r="N29" i="8"/>
  <c r="M15" i="3"/>
  <c r="N86" i="8"/>
  <c r="L117" i="9"/>
  <c r="K116"/>
  <c r="K79"/>
  <c r="M103"/>
  <c r="N104"/>
  <c r="D33" i="46"/>
  <c r="F33" s="1"/>
  <c r="B32"/>
  <c r="E33"/>
  <c r="N43" i="9"/>
  <c r="M24" i="3"/>
  <c r="O44" i="9"/>
  <c r="AA30" i="4"/>
  <c r="AA29"/>
  <c r="AA28" s="1"/>
  <c r="L12" i="5"/>
  <c r="N36" i="9"/>
  <c r="L21" i="3"/>
  <c r="L20" s="1"/>
  <c r="Z26" i="4"/>
  <c r="D30" i="46"/>
  <c r="F30"/>
  <c r="E30"/>
  <c r="M161" i="10"/>
  <c r="L160"/>
  <c r="R188"/>
  <c r="Q189"/>
  <c r="R189"/>
  <c r="S189"/>
  <c r="T189"/>
  <c r="U189"/>
  <c r="V189"/>
  <c r="W189"/>
  <c r="P43" i="8"/>
  <c r="L27" i="3"/>
  <c r="M59" i="8"/>
  <c r="M58"/>
  <c r="M34" i="3"/>
  <c r="M17" i="5"/>
  <c r="AA71" i="4"/>
  <c r="S32" i="10"/>
  <c r="N18" i="5"/>
  <c r="N35" i="3"/>
  <c r="AB72" i="4"/>
  <c r="O38" i="8"/>
  <c r="W73" i="10"/>
  <c r="Q91"/>
  <c r="P86"/>
  <c r="R31" i="5"/>
  <c r="T184" i="10"/>
  <c r="R32" i="5"/>
  <c r="R140" i="3" s="1"/>
  <c r="S183" i="10"/>
  <c r="S182"/>
  <c r="N14" i="23"/>
  <c r="R47" i="3"/>
  <c r="R46"/>
  <c r="R68"/>
  <c r="R66"/>
  <c r="R65" s="1"/>
  <c r="R64" s="1"/>
  <c r="E80" i="7"/>
  <c r="S24" i="12"/>
  <c r="S25"/>
  <c r="U19"/>
  <c r="U24"/>
  <c r="U25"/>
  <c r="C182" i="7"/>
  <c r="C181"/>
  <c r="L74" i="2"/>
  <c r="N74"/>
  <c r="G109" i="7"/>
  <c r="L91" i="9"/>
  <c r="K67" i="3"/>
  <c r="I75" i="8"/>
  <c r="H74"/>
  <c r="H95"/>
  <c r="K11" i="5"/>
  <c r="L167" i="10"/>
  <c r="L166" s="1"/>
  <c r="L145" s="1"/>
  <c r="L120" i="9"/>
  <c r="J54" i="3"/>
  <c r="K98" i="8"/>
  <c r="K125"/>
  <c r="H51" i="3"/>
  <c r="I70" i="8"/>
  <c r="I69" s="1"/>
  <c r="M147" i="10"/>
  <c r="L146"/>
  <c r="P190"/>
  <c r="O44" i="8"/>
  <c r="O41"/>
  <c r="O187" i="10"/>
  <c r="N41" i="3"/>
  <c r="M53"/>
  <c r="N100" i="8"/>
  <c r="N123"/>
  <c r="O17" i="9"/>
  <c r="AA13" i="4"/>
  <c r="N30" i="8"/>
  <c r="M17" i="3"/>
  <c r="N87" i="8"/>
  <c r="L11" i="5"/>
  <c r="M167" i="10"/>
  <c r="Q62" i="9"/>
  <c r="P95" i="10"/>
  <c r="Q60" i="9"/>
  <c r="P94" i="10"/>
  <c r="K46" i="9"/>
  <c r="K42"/>
  <c r="J26" i="3"/>
  <c r="J25" s="1"/>
  <c r="J23"/>
  <c r="K49" i="8"/>
  <c r="K48" s="1"/>
  <c r="N27" i="9"/>
  <c r="N110" i="10"/>
  <c r="O28" i="9"/>
  <c r="R22" i="10"/>
  <c r="Q21"/>
  <c r="U48"/>
  <c r="S42" i="3"/>
  <c r="T38" i="10"/>
  <c r="O36"/>
  <c r="N35"/>
  <c r="N30"/>
  <c r="N29"/>
  <c r="M39" i="3"/>
  <c r="J19" i="5"/>
  <c r="X73" i="4"/>
  <c r="X70" s="1"/>
  <c r="F10" i="23" s="1"/>
  <c r="K15" i="10"/>
  <c r="K14"/>
  <c r="L28" i="3"/>
  <c r="M127" i="8"/>
  <c r="M95" s="1"/>
  <c r="O43" i="10"/>
  <c r="N42"/>
  <c r="N41"/>
  <c r="M38" i="3"/>
  <c r="Q63" i="10"/>
  <c r="R64" i="9"/>
  <c r="J79"/>
  <c r="AA73" i="4"/>
  <c r="M19" i="5"/>
  <c r="N15" i="10"/>
  <c r="N14"/>
  <c r="K124"/>
  <c r="J15" i="5"/>
  <c r="F12" i="23"/>
  <c r="D31" i="7"/>
  <c r="K39" i="8"/>
  <c r="K36" s="1"/>
  <c r="K45" s="1"/>
  <c r="P36" i="10"/>
  <c r="N39" i="3"/>
  <c r="U38" i="10"/>
  <c r="O27" i="9"/>
  <c r="O110" i="10"/>
  <c r="P28" i="9"/>
  <c r="J13" i="5"/>
  <c r="K35" i="9"/>
  <c r="K12"/>
  <c r="K11"/>
  <c r="Q190" i="10"/>
  <c r="P44" i="8"/>
  <c r="P41"/>
  <c r="P187" i="10"/>
  <c r="O41" i="3"/>
  <c r="O36" s="1"/>
  <c r="O33" s="1"/>
  <c r="J75" i="8"/>
  <c r="I74"/>
  <c r="I95"/>
  <c r="L101"/>
  <c r="S64" i="9"/>
  <c r="R63" i="10"/>
  <c r="O42"/>
  <c r="O41"/>
  <c r="P43"/>
  <c r="N38" i="3"/>
  <c r="V48" i="10"/>
  <c r="T42" i="3"/>
  <c r="S22" i="10"/>
  <c r="R21"/>
  <c r="R60" i="9"/>
  <c r="Q94" i="10"/>
  <c r="R62" i="9"/>
  <c r="Q95" i="10"/>
  <c r="P17" i="9"/>
  <c r="AB13" i="4"/>
  <c r="O30" i="8" s="1"/>
  <c r="N17" i="3"/>
  <c r="O87" i="8"/>
  <c r="I72"/>
  <c r="H11" i="3"/>
  <c r="H86"/>
  <c r="H74" s="1"/>
  <c r="M120" i="9"/>
  <c r="K54" i="3"/>
  <c r="L98" i="8"/>
  <c r="L125"/>
  <c r="L71"/>
  <c r="H81"/>
  <c r="S32" i="5"/>
  <c r="S140" i="3" s="1"/>
  <c r="U184" i="10"/>
  <c r="S31" i="5"/>
  <c r="T183" i="10"/>
  <c r="T182"/>
  <c r="O14" i="23"/>
  <c r="S68" i="3"/>
  <c r="S66"/>
  <c r="S65" s="1"/>
  <c r="S64" s="1"/>
  <c r="S47"/>
  <c r="S46"/>
  <c r="T32" i="10"/>
  <c r="S188"/>
  <c r="D29" i="46"/>
  <c r="F29" s="1"/>
  <c r="M12" i="5"/>
  <c r="O36" i="9"/>
  <c r="AA26" i="4"/>
  <c r="M21" i="3"/>
  <c r="M20"/>
  <c r="L57"/>
  <c r="M102" i="8"/>
  <c r="M117" i="9"/>
  <c r="L116"/>
  <c r="P16"/>
  <c r="AB12" i="4"/>
  <c r="N15" i="3"/>
  <c r="M19"/>
  <c r="M13" s="1"/>
  <c r="M12" s="1"/>
  <c r="P19" i="9"/>
  <c r="AB15" i="4"/>
  <c r="N19" i="3"/>
  <c r="J93" i="8"/>
  <c r="J91" s="1"/>
  <c r="B10" i="23"/>
  <c r="D57" i="7"/>
  <c r="F70" i="4"/>
  <c r="E39" i="7"/>
  <c r="M28" i="3"/>
  <c r="N127" i="8"/>
  <c r="N71" i="10"/>
  <c r="Q69" i="9"/>
  <c r="P66"/>
  <c r="O29" i="3"/>
  <c r="Q33" i="10"/>
  <c r="O37" i="3"/>
  <c r="P31" i="10"/>
  <c r="O17" i="5"/>
  <c r="AC71" i="4"/>
  <c r="O34" i="3"/>
  <c r="L46" i="9"/>
  <c r="L42"/>
  <c r="L49" i="8"/>
  <c r="L48" s="1"/>
  <c r="K26" i="3"/>
  <c r="K25" s="1"/>
  <c r="K23" s="1"/>
  <c r="E38" i="46"/>
  <c r="D38"/>
  <c r="F38"/>
  <c r="B36"/>
  <c r="M64" i="10"/>
  <c r="N65"/>
  <c r="O13" i="9"/>
  <c r="P14"/>
  <c r="AB11" i="4"/>
  <c r="N14" i="3"/>
  <c r="N13" s="1"/>
  <c r="O85" i="8"/>
  <c r="O53" i="3"/>
  <c r="P100" i="8"/>
  <c r="P123"/>
  <c r="I11" i="3"/>
  <c r="I86" s="1"/>
  <c r="I74" s="1"/>
  <c r="P24" i="9"/>
  <c r="N16" i="3"/>
  <c r="N105" i="9"/>
  <c r="O106"/>
  <c r="N124" i="8"/>
  <c r="M91" i="9"/>
  <c r="L67" i="3"/>
  <c r="F87" i="1"/>
  <c r="I87"/>
  <c r="E53" i="4"/>
  <c r="E52" s="1"/>
  <c r="E13" i="3"/>
  <c r="E67"/>
  <c r="C74"/>
  <c r="E51"/>
  <c r="E20"/>
  <c r="E23"/>
  <c r="E12"/>
  <c r="Y70" i="4"/>
  <c r="K128" i="3" s="1"/>
  <c r="K129" s="1"/>
  <c r="L39" i="8"/>
  <c r="L36"/>
  <c r="R24" i="10"/>
  <c r="Q23"/>
  <c r="Q20"/>
  <c r="Q16"/>
  <c r="R27"/>
  <c r="Q26"/>
  <c r="M27" i="3"/>
  <c r="N59" i="8"/>
  <c r="N58" s="1"/>
  <c r="N64" s="1"/>
  <c r="N130" i="10"/>
  <c r="O131"/>
  <c r="P20" i="9"/>
  <c r="AB16" i="4"/>
  <c r="P21" i="9"/>
  <c r="AB17" i="4"/>
  <c r="P22" i="9"/>
  <c r="AB18" i="4"/>
  <c r="P23" i="9"/>
  <c r="AB19" i="4"/>
  <c r="P37" i="9"/>
  <c r="AB27" i="4"/>
  <c r="E49"/>
  <c r="E48" s="1"/>
  <c r="D55" i="7"/>
  <c r="F50"/>
  <c r="L130" i="8"/>
  <c r="J124" i="10"/>
  <c r="I15" i="5"/>
  <c r="E12" i="23"/>
  <c r="J11" i="9"/>
  <c r="K56" i="8"/>
  <c r="M146" i="10"/>
  <c r="N147"/>
  <c r="G80" i="7"/>
  <c r="R30" i="5"/>
  <c r="R139" i="3"/>
  <c r="R91" i="10"/>
  <c r="Q86"/>
  <c r="N37" i="8"/>
  <c r="N161" i="10"/>
  <c r="M160"/>
  <c r="P44" i="9"/>
  <c r="O43"/>
  <c r="N24" i="3"/>
  <c r="N23" s="1"/>
  <c r="AB30" i="4"/>
  <c r="AB29"/>
  <c r="AB28" s="1"/>
  <c r="AB25" s="1"/>
  <c r="O35" i="8" s="1"/>
  <c r="D32" i="46"/>
  <c r="F32" s="1"/>
  <c r="E32"/>
  <c r="O104" i="9"/>
  <c r="N103"/>
  <c r="J56" i="3"/>
  <c r="J51"/>
  <c r="K105" i="8"/>
  <c r="G45"/>
  <c r="G119" s="1"/>
  <c r="G118" s="1"/>
  <c r="G142" s="1"/>
  <c r="G145" s="1"/>
  <c r="G144" s="1"/>
  <c r="G156" s="1"/>
  <c r="G159" s="1"/>
  <c r="G158" s="1"/>
  <c r="G161" s="1"/>
  <c r="G162" s="1"/>
  <c r="U83" i="10"/>
  <c r="T72"/>
  <c r="P25" i="9"/>
  <c r="AB20" i="4"/>
  <c r="O97" i="10"/>
  <c r="O93"/>
  <c r="O71" s="1"/>
  <c r="P63" i="9"/>
  <c r="O59"/>
  <c r="L19" i="5"/>
  <c r="Z73" i="4"/>
  <c r="M15" i="10"/>
  <c r="M14"/>
  <c r="L55" i="8"/>
  <c r="L53"/>
  <c r="L57" i="10"/>
  <c r="L56"/>
  <c r="N50" i="9"/>
  <c r="M47"/>
  <c r="M58" i="10"/>
  <c r="N84" i="8"/>
  <c r="N28"/>
  <c r="AA10" i="4"/>
  <c r="N13" i="9"/>
  <c r="N53" i="3"/>
  <c r="O100" i="8"/>
  <c r="O123"/>
  <c r="M115" i="9"/>
  <c r="K58" i="3"/>
  <c r="L104" i="8"/>
  <c r="O95" i="9"/>
  <c r="N93"/>
  <c r="N92"/>
  <c r="F50" i="22"/>
  <c r="H27"/>
  <c r="K28"/>
  <c r="T87" i="10"/>
  <c r="W18" i="9"/>
  <c r="AI14" i="4"/>
  <c r="U18" i="3"/>
  <c r="O37" i="10"/>
  <c r="M40" i="3"/>
  <c r="O18" i="5"/>
  <c r="O35" i="3"/>
  <c r="AC72" i="4"/>
  <c r="P38" i="8" s="1"/>
  <c r="R34" i="10"/>
  <c r="P49" i="9"/>
  <c r="O69" i="10"/>
  <c r="P53" i="9"/>
  <c r="O52"/>
  <c r="R61"/>
  <c r="Q96" i="10"/>
  <c r="R39" i="9"/>
  <c r="S40"/>
  <c r="D12" i="5"/>
  <c r="O37" i="8"/>
  <c r="Y59" i="4"/>
  <c r="G9" i="23" s="1"/>
  <c r="K125" i="3"/>
  <c r="P17" i="5"/>
  <c r="AD71" i="4"/>
  <c r="P34" i="3"/>
  <c r="P37" i="10"/>
  <c r="N40" i="3"/>
  <c r="N36" s="1"/>
  <c r="N33"/>
  <c r="K27" i="22"/>
  <c r="L58" i="3"/>
  <c r="N115" i="9"/>
  <c r="M104" i="8"/>
  <c r="M57" i="10"/>
  <c r="M55" i="8"/>
  <c r="M53" s="1"/>
  <c r="O50" i="9"/>
  <c r="N47"/>
  <c r="N58" i="10"/>
  <c r="N55" i="8" s="1"/>
  <c r="N53" s="1"/>
  <c r="N56" s="1"/>
  <c r="Q63" i="9"/>
  <c r="P97" i="10"/>
  <c r="P93" s="1"/>
  <c r="P71" s="1"/>
  <c r="P59" i="9"/>
  <c r="S39"/>
  <c r="T40"/>
  <c r="S61"/>
  <c r="R96" i="10"/>
  <c r="P69"/>
  <c r="Q53" i="9"/>
  <c r="P52"/>
  <c r="Q49"/>
  <c r="S34" i="10"/>
  <c r="V18" i="3"/>
  <c r="AJ14" i="4"/>
  <c r="U87" i="10"/>
  <c r="P95" i="9"/>
  <c r="P93"/>
  <c r="P92"/>
  <c r="O93"/>
  <c r="O92"/>
  <c r="N33" i="8"/>
  <c r="M46" i="9"/>
  <c r="M42"/>
  <c r="L26" i="3"/>
  <c r="L25" s="1"/>
  <c r="L23" s="1"/>
  <c r="M49" i="8"/>
  <c r="M48" s="1"/>
  <c r="M56" s="1"/>
  <c r="N28" i="3"/>
  <c r="O127" i="8"/>
  <c r="Q25" i="9"/>
  <c r="AC20" i="4"/>
  <c r="V83" i="10"/>
  <c r="U72"/>
  <c r="P104" i="9"/>
  <c r="P43"/>
  <c r="O24" i="3"/>
  <c r="Q44" i="9"/>
  <c r="AC30" i="4"/>
  <c r="AC29"/>
  <c r="AC28" s="1"/>
  <c r="O161" i="10"/>
  <c r="N160"/>
  <c r="S91"/>
  <c r="R86"/>
  <c r="O147"/>
  <c r="N146"/>
  <c r="J123"/>
  <c r="J110" i="8" s="1"/>
  <c r="J70"/>
  <c r="J69"/>
  <c r="F55" i="7"/>
  <c r="P18" i="5"/>
  <c r="P35" i="3"/>
  <c r="AD72" i="4"/>
  <c r="AD70" s="1"/>
  <c r="O16" i="3"/>
  <c r="Q24" i="9"/>
  <c r="AC11" i="4"/>
  <c r="P28" i="8" s="1"/>
  <c r="O14" i="3"/>
  <c r="P85" i="8"/>
  <c r="Q14" i="9"/>
  <c r="K13" i="5"/>
  <c r="L35" i="9"/>
  <c r="L12"/>
  <c r="R69"/>
  <c r="Q66"/>
  <c r="P29" i="3"/>
  <c r="E38" i="7"/>
  <c r="F39"/>
  <c r="Q19" i="9"/>
  <c r="AC15" i="4"/>
  <c r="K56" i="3"/>
  <c r="L105" i="8"/>
  <c r="N12" i="5"/>
  <c r="P36" i="9"/>
  <c r="AB26" i="4"/>
  <c r="N21" i="3"/>
  <c r="N20" s="1"/>
  <c r="T31" i="5"/>
  <c r="V184" i="10"/>
  <c r="T32" i="5"/>
  <c r="T140" i="3" s="1"/>
  <c r="U183" i="10"/>
  <c r="U182"/>
  <c r="P14" i="23"/>
  <c r="T47" i="3"/>
  <c r="T46"/>
  <c r="T68"/>
  <c r="T66"/>
  <c r="T65" s="1"/>
  <c r="T64" s="1"/>
  <c r="L96" i="8"/>
  <c r="L54" i="3"/>
  <c r="N120" i="9"/>
  <c r="M98" i="8"/>
  <c r="M125"/>
  <c r="S60" i="9"/>
  <c r="R94" i="10"/>
  <c r="T22"/>
  <c r="S21"/>
  <c r="W48"/>
  <c r="V42" i="3"/>
  <c r="U42"/>
  <c r="Q43" i="10"/>
  <c r="P42"/>
  <c r="P41"/>
  <c r="O38" i="3"/>
  <c r="S63" i="10"/>
  <c r="T64" i="9"/>
  <c r="L79"/>
  <c r="K75" i="8"/>
  <c r="J74"/>
  <c r="J95"/>
  <c r="O35" i="10"/>
  <c r="O30"/>
  <c r="O29"/>
  <c r="K119" i="8"/>
  <c r="K118" s="1"/>
  <c r="K142"/>
  <c r="K145" s="1"/>
  <c r="K144" s="1"/>
  <c r="K156" s="1"/>
  <c r="K159" s="1"/>
  <c r="K158" s="1"/>
  <c r="K161" s="1"/>
  <c r="K162" s="1"/>
  <c r="K123" i="10"/>
  <c r="J60" i="3" s="1"/>
  <c r="J59" s="1"/>
  <c r="J62" s="1"/>
  <c r="K70" i="8"/>
  <c r="K69"/>
  <c r="K72" s="1"/>
  <c r="E12" i="5"/>
  <c r="N27" i="3"/>
  <c r="O59" i="8"/>
  <c r="O58" s="1"/>
  <c r="N91" i="9"/>
  <c r="M67" i="3"/>
  <c r="N167" i="10"/>
  <c r="N71" i="8" s="1"/>
  <c r="M11" i="5"/>
  <c r="M57" i="3"/>
  <c r="N102" i="8"/>
  <c r="Q37" i="9"/>
  <c r="AC27" i="4"/>
  <c r="Q23" i="9"/>
  <c r="AC19" i="4"/>
  <c r="Q22" i="9"/>
  <c r="AC18" i="4"/>
  <c r="Q21" i="9"/>
  <c r="AC17" i="4"/>
  <c r="Q20" i="9"/>
  <c r="AC16" i="4"/>
  <c r="P131" i="10"/>
  <c r="O130"/>
  <c r="R26"/>
  <c r="S27"/>
  <c r="R23"/>
  <c r="S24"/>
  <c r="G10" i="23"/>
  <c r="K126" i="3"/>
  <c r="K127" s="1"/>
  <c r="M101" i="8"/>
  <c r="P106" i="9"/>
  <c r="O105"/>
  <c r="O103"/>
  <c r="O124" i="8"/>
  <c r="O28"/>
  <c r="O167" i="10"/>
  <c r="O166" s="1"/>
  <c r="O145" s="1"/>
  <c r="N11" i="5"/>
  <c r="N64" i="10"/>
  <c r="O65"/>
  <c r="E36" i="46"/>
  <c r="D36"/>
  <c r="F36" s="1"/>
  <c r="P37" i="8"/>
  <c r="R33" i="10"/>
  <c r="P37" i="3"/>
  <c r="Q31" i="10"/>
  <c r="D6" i="11"/>
  <c r="J83" i="8"/>
  <c r="J114" s="1"/>
  <c r="Q16" i="9"/>
  <c r="AC12" i="4"/>
  <c r="O15" i="3"/>
  <c r="M116" i="9"/>
  <c r="N117"/>
  <c r="T188" i="10"/>
  <c r="U32"/>
  <c r="S30" i="5"/>
  <c r="S139" i="3"/>
  <c r="K51"/>
  <c r="Q17" i="9"/>
  <c r="AC13" i="4"/>
  <c r="P30" i="8"/>
  <c r="O17" i="3"/>
  <c r="P87" i="8"/>
  <c r="S62" i="9"/>
  <c r="R95" i="10"/>
  <c r="R20"/>
  <c r="R16"/>
  <c r="I81" i="8"/>
  <c r="R190" i="10"/>
  <c r="Q187"/>
  <c r="P41" i="3"/>
  <c r="P27" i="9"/>
  <c r="P110" i="10"/>
  <c r="Q28" i="9"/>
  <c r="V38" i="10"/>
  <c r="Q36"/>
  <c r="P35"/>
  <c r="P30"/>
  <c r="P29"/>
  <c r="O39" i="3"/>
  <c r="F11" i="23"/>
  <c r="F15" s="1"/>
  <c r="F17" s="1"/>
  <c r="F20" s="1"/>
  <c r="J128" i="3"/>
  <c r="J129" s="1"/>
  <c r="J126"/>
  <c r="J127" s="1"/>
  <c r="X80" i="4"/>
  <c r="F82" i="7"/>
  <c r="D183"/>
  <c r="D181"/>
  <c r="F31"/>
  <c r="AC73" i="4"/>
  <c r="O19" i="5"/>
  <c r="P15" i="10"/>
  <c r="P14"/>
  <c r="N57" i="3"/>
  <c r="O102" i="8"/>
  <c r="R28" i="9"/>
  <c r="Q27"/>
  <c r="Q110" i="10"/>
  <c r="S190"/>
  <c r="R187"/>
  <c r="Q41" i="3"/>
  <c r="L56"/>
  <c r="M105" i="8"/>
  <c r="P15" i="3"/>
  <c r="AD12" i="4"/>
  <c r="R16" i="9"/>
  <c r="S33" i="10"/>
  <c r="Q37" i="3"/>
  <c r="R31" i="10"/>
  <c r="P65"/>
  <c r="M79" i="9"/>
  <c r="T24" i="10"/>
  <c r="S23"/>
  <c r="T27"/>
  <c r="S26"/>
  <c r="P130"/>
  <c r="Q131"/>
  <c r="AD16" i="4"/>
  <c r="R20" i="9"/>
  <c r="AD17" i="4"/>
  <c r="R21" i="9"/>
  <c r="AD18" i="4"/>
  <c r="R22" i="9"/>
  <c r="AD19" i="4"/>
  <c r="R23" i="9"/>
  <c r="R37"/>
  <c r="AD27" i="4"/>
  <c r="N166" i="10"/>
  <c r="N101" i="8"/>
  <c r="AB73" i="4"/>
  <c r="N19" i="5"/>
  <c r="O15" i="10"/>
  <c r="O14"/>
  <c r="L75" i="8"/>
  <c r="K74"/>
  <c r="K95"/>
  <c r="S20" i="10"/>
  <c r="S16"/>
  <c r="T60" i="9"/>
  <c r="S94" i="10"/>
  <c r="L51" i="3"/>
  <c r="T139"/>
  <c r="O19"/>
  <c r="J109" i="8"/>
  <c r="J108" s="1"/>
  <c r="J108" i="10"/>
  <c r="N145"/>
  <c r="M60" i="3" s="1"/>
  <c r="M59" s="1"/>
  <c r="W83" i="10"/>
  <c r="W72"/>
  <c r="V72"/>
  <c r="R25" i="9"/>
  <c r="AD20" i="4"/>
  <c r="P91" i="9"/>
  <c r="O67" i="3"/>
  <c r="T34" i="10"/>
  <c r="O27" i="3"/>
  <c r="P59" i="8"/>
  <c r="P58" s="1"/>
  <c r="T61" i="9"/>
  <c r="S96" i="10"/>
  <c r="T39" i="9"/>
  <c r="U40"/>
  <c r="N57" i="10"/>
  <c r="N56" s="1"/>
  <c r="P50" i="9"/>
  <c r="O58" i="10"/>
  <c r="O47" i="9"/>
  <c r="Q37" i="10"/>
  <c r="O40" i="3"/>
  <c r="Q35" i="10"/>
  <c r="Q30"/>
  <c r="Q29"/>
  <c r="R36"/>
  <c r="P39" i="3"/>
  <c r="W38" i="10"/>
  <c r="Q17" i="5"/>
  <c r="AE71" i="4"/>
  <c r="AE70" s="1"/>
  <c r="Q34" i="3"/>
  <c r="T62" i="9"/>
  <c r="S95" i="10"/>
  <c r="AD13" i="4"/>
  <c r="R17" i="9"/>
  <c r="P17" i="3"/>
  <c r="V32" i="10"/>
  <c r="U188"/>
  <c r="N116" i="9"/>
  <c r="O117"/>
  <c r="P105"/>
  <c r="P103"/>
  <c r="P124" i="8"/>
  <c r="Q18" i="5"/>
  <c r="AE72" i="4"/>
  <c r="Q35" i="3"/>
  <c r="J81" i="8"/>
  <c r="L124" i="10"/>
  <c r="K15" i="5"/>
  <c r="G12" i="23"/>
  <c r="T63" i="10"/>
  <c r="U64" i="9"/>
  <c r="Q42" i="10"/>
  <c r="Q41"/>
  <c r="R43"/>
  <c r="P38" i="3"/>
  <c r="U22" i="10"/>
  <c r="T21"/>
  <c r="O120" i="9"/>
  <c r="M54" i="3"/>
  <c r="N98" i="8"/>
  <c r="N125"/>
  <c r="U32" i="5"/>
  <c r="U140" i="3"/>
  <c r="U31" i="5"/>
  <c r="W184" i="10"/>
  <c r="V183"/>
  <c r="V182"/>
  <c r="Q14" i="23"/>
  <c r="U47" i="3"/>
  <c r="U46" s="1"/>
  <c r="U68"/>
  <c r="U66" s="1"/>
  <c r="U65" s="1"/>
  <c r="U64" s="1"/>
  <c r="O12" i="5"/>
  <c r="Q36" i="9"/>
  <c r="AC26" i="4"/>
  <c r="O21" i="3"/>
  <c r="O20"/>
  <c r="AD15" i="4"/>
  <c r="R19" i="9"/>
  <c r="P19" i="3"/>
  <c r="S69" i="9"/>
  <c r="R66"/>
  <c r="Q29" i="3"/>
  <c r="L11" i="9"/>
  <c r="G16" i="23"/>
  <c r="Q13" i="9"/>
  <c r="AD11" i="4"/>
  <c r="AD10" s="1"/>
  <c r="P14" i="3"/>
  <c r="R14" i="9"/>
  <c r="O13" i="3"/>
  <c r="P13" i="9"/>
  <c r="P16" i="3"/>
  <c r="R24" i="9"/>
  <c r="J72" i="8"/>
  <c r="P147" i="10"/>
  <c r="O146"/>
  <c r="T91"/>
  <c r="S86"/>
  <c r="O160"/>
  <c r="P161"/>
  <c r="AD30" i="4"/>
  <c r="AD29" s="1"/>
  <c r="AD28"/>
  <c r="Q43" i="9"/>
  <c r="P24" i="3"/>
  <c r="R44" i="9"/>
  <c r="L13" i="5"/>
  <c r="M35" i="9"/>
  <c r="M12"/>
  <c r="M11"/>
  <c r="O91"/>
  <c r="N67" i="3"/>
  <c r="V87" i="10"/>
  <c r="R49" i="9"/>
  <c r="R53"/>
  <c r="Q69" i="10"/>
  <c r="Q52" i="9"/>
  <c r="P27" i="3"/>
  <c r="O28"/>
  <c r="P127" i="8"/>
  <c r="P95" s="1"/>
  <c r="R63" i="9"/>
  <c r="Q97" i="10"/>
  <c r="Q59" i="9"/>
  <c r="P28" i="3"/>
  <c r="N46" i="9"/>
  <c r="N42"/>
  <c r="M26" i="3"/>
  <c r="M25" s="1"/>
  <c r="M23"/>
  <c r="N49" i="8"/>
  <c r="N48" s="1"/>
  <c r="O115" i="9"/>
  <c r="M58" i="3"/>
  <c r="N104" i="8"/>
  <c r="O57" i="3"/>
  <c r="P102" i="8"/>
  <c r="P19" i="5"/>
  <c r="AD73" i="4"/>
  <c r="Q15" i="10"/>
  <c r="Q14"/>
  <c r="M13" i="5"/>
  <c r="N35" i="9"/>
  <c r="N12"/>
  <c r="R69" i="10"/>
  <c r="S53" i="9"/>
  <c r="R52"/>
  <c r="Q27" i="3"/>
  <c r="S49" i="9"/>
  <c r="R43"/>
  <c r="Q24" i="3"/>
  <c r="S44" i="9"/>
  <c r="AE30" i="4"/>
  <c r="AE29" s="1"/>
  <c r="AE28"/>
  <c r="AE25" s="1"/>
  <c r="Q16" i="3"/>
  <c r="S24" i="9"/>
  <c r="P167" i="10"/>
  <c r="O11" i="5"/>
  <c r="AE11" i="4"/>
  <c r="Q14" i="3"/>
  <c r="S14" i="9"/>
  <c r="T69"/>
  <c r="S66"/>
  <c r="R29" i="3"/>
  <c r="V31" i="5"/>
  <c r="V139" i="3" s="1"/>
  <c r="V47"/>
  <c r="V46"/>
  <c r="V32" i="5"/>
  <c r="V140" i="3"/>
  <c r="V68"/>
  <c r="V66"/>
  <c r="V65" s="1"/>
  <c r="V64"/>
  <c r="W183" i="10"/>
  <c r="W182"/>
  <c r="R14" i="23"/>
  <c r="N54" i="3"/>
  <c r="N51" s="1"/>
  <c r="P120" i="9"/>
  <c r="O98" i="8"/>
  <c r="O96" s="1"/>
  <c r="O125"/>
  <c r="U21" i="10"/>
  <c r="V22"/>
  <c r="S43"/>
  <c r="R42"/>
  <c r="R41"/>
  <c r="Q38" i="3"/>
  <c r="O116" i="9"/>
  <c r="P117"/>
  <c r="P116"/>
  <c r="W32" i="10"/>
  <c r="U62" i="9"/>
  <c r="T95" i="10"/>
  <c r="S36"/>
  <c r="Q39" i="3"/>
  <c r="O46" i="9"/>
  <c r="O42"/>
  <c r="N26" i="3"/>
  <c r="N25" s="1"/>
  <c r="O49" i="8"/>
  <c r="O48" s="1"/>
  <c r="O56" s="1"/>
  <c r="Q50" i="9"/>
  <c r="P47"/>
  <c r="P58" i="10"/>
  <c r="U61" i="9"/>
  <c r="T96" i="10"/>
  <c r="U34"/>
  <c r="P101" i="8"/>
  <c r="S25" i="9"/>
  <c r="AE20" i="4"/>
  <c r="M75" i="8"/>
  <c r="L74"/>
  <c r="L95"/>
  <c r="AE19" i="4"/>
  <c r="S23" i="9"/>
  <c r="AE18" i="4"/>
  <c r="S22" i="9"/>
  <c r="AE17" i="4"/>
  <c r="S21" i="9"/>
  <c r="AE16" i="4"/>
  <c r="S20" i="9"/>
  <c r="R18" i="5"/>
  <c r="R35" i="3"/>
  <c r="AF72" i="4"/>
  <c r="L15" i="5"/>
  <c r="M124" i="10"/>
  <c r="M70" i="8" s="1"/>
  <c r="H12" i="23"/>
  <c r="Q15" i="3"/>
  <c r="S16" i="9"/>
  <c r="AE12" i="4"/>
  <c r="T190" i="10"/>
  <c r="S187"/>
  <c r="R41" i="3"/>
  <c r="S28" i="9"/>
  <c r="R27"/>
  <c r="R110" i="10"/>
  <c r="P115" i="9"/>
  <c r="N58" i="3"/>
  <c r="O104" i="8"/>
  <c r="S63" i="9"/>
  <c r="R97" i="10"/>
  <c r="R93"/>
  <c r="R71" s="1"/>
  <c r="R59" i="9"/>
  <c r="Q28" i="3"/>
  <c r="W87" i="10"/>
  <c r="O101" i="8"/>
  <c r="O79" i="9"/>
  <c r="Q161" i="10"/>
  <c r="P160"/>
  <c r="U91"/>
  <c r="T86"/>
  <c r="Q147"/>
  <c r="P146"/>
  <c r="P13" i="3"/>
  <c r="Q167" i="10"/>
  <c r="Q166"/>
  <c r="P11" i="5"/>
  <c r="Q19" i="3"/>
  <c r="AE15" i="4"/>
  <c r="S19" i="9"/>
  <c r="P12" i="5"/>
  <c r="R36" i="9"/>
  <c r="AD26" i="4"/>
  <c r="AD25"/>
  <c r="P21" i="3"/>
  <c r="P20" s="1"/>
  <c r="U30" i="5"/>
  <c r="U139" i="3"/>
  <c r="U63" i="10"/>
  <c r="V64" i="9"/>
  <c r="L123" i="10"/>
  <c r="M56" i="3"/>
  <c r="M51"/>
  <c r="M62" s="1"/>
  <c r="N105" i="8"/>
  <c r="N96"/>
  <c r="V188" i="10"/>
  <c r="AE13" i="4"/>
  <c r="AE10" s="1"/>
  <c r="AE9" s="1"/>
  <c r="S17" i="9"/>
  <c r="Q17" i="3"/>
  <c r="R37" i="10"/>
  <c r="P40" i="3"/>
  <c r="O55" i="8"/>
  <c r="O53"/>
  <c r="O57" i="10"/>
  <c r="V40" i="9"/>
  <c r="U39"/>
  <c r="I48" i="3"/>
  <c r="I32" s="1"/>
  <c r="U60" i="9"/>
  <c r="T94" i="10"/>
  <c r="R17" i="5"/>
  <c r="AF71" i="4"/>
  <c r="R34" i="3"/>
  <c r="R33" s="1"/>
  <c r="K81" i="8"/>
  <c r="N79" i="9"/>
  <c r="S37"/>
  <c r="AE27" i="4"/>
  <c r="R131" i="10"/>
  <c r="Q130"/>
  <c r="T26"/>
  <c r="U27"/>
  <c r="T23"/>
  <c r="T20"/>
  <c r="T16"/>
  <c r="U24"/>
  <c r="Q65"/>
  <c r="T33"/>
  <c r="R37" i="3"/>
  <c r="S31" i="10"/>
  <c r="P39" i="8"/>
  <c r="S17" i="5"/>
  <c r="AG71" i="4"/>
  <c r="S34" i="3"/>
  <c r="V24" i="10"/>
  <c r="U23"/>
  <c r="V27"/>
  <c r="U26"/>
  <c r="M15" i="5"/>
  <c r="N124" i="10"/>
  <c r="I12" i="23"/>
  <c r="V60" i="9"/>
  <c r="U94" i="10"/>
  <c r="S37"/>
  <c r="Q40" i="3"/>
  <c r="Q36"/>
  <c r="Q33" s="1"/>
  <c r="R147" i="10"/>
  <c r="Q146"/>
  <c r="V91"/>
  <c r="U86"/>
  <c r="R161"/>
  <c r="Q160"/>
  <c r="O58" i="3"/>
  <c r="P104" i="8"/>
  <c r="T28" i="9"/>
  <c r="S27"/>
  <c r="S110" i="10"/>
  <c r="U190"/>
  <c r="T187"/>
  <c r="S41" i="3"/>
  <c r="AF12" i="4"/>
  <c r="T16" i="9"/>
  <c r="R15" i="3"/>
  <c r="T20" i="9"/>
  <c r="AF16" i="4"/>
  <c r="T21" i="9"/>
  <c r="AF17" i="4"/>
  <c r="T22" i="9"/>
  <c r="AF18" i="4"/>
  <c r="T23" i="9"/>
  <c r="AF19" i="4"/>
  <c r="L81" i="8"/>
  <c r="P79" i="9"/>
  <c r="P46"/>
  <c r="P42"/>
  <c r="O26" i="3"/>
  <c r="O25"/>
  <c r="O23" s="1"/>
  <c r="O12"/>
  <c r="P49" i="8"/>
  <c r="P48"/>
  <c r="N13" i="5"/>
  <c r="O35" i="9"/>
  <c r="O12"/>
  <c r="O11"/>
  <c r="R35" i="10"/>
  <c r="R30"/>
  <c r="R29"/>
  <c r="V62" i="9"/>
  <c r="U95" i="10"/>
  <c r="O56" i="3"/>
  <c r="P105" i="8"/>
  <c r="S42" i="10"/>
  <c r="S41"/>
  <c r="T43"/>
  <c r="R38" i="3"/>
  <c r="U20" i="10"/>
  <c r="U16"/>
  <c r="V30" i="5"/>
  <c r="U69" i="9"/>
  <c r="T66"/>
  <c r="S29" i="3"/>
  <c r="R13" i="9"/>
  <c r="T24"/>
  <c r="R16" i="3"/>
  <c r="R13" s="1"/>
  <c r="T44" i="9"/>
  <c r="S43"/>
  <c r="R24" i="3"/>
  <c r="AF30" i="4"/>
  <c r="AF29" s="1"/>
  <c r="AF28" s="1"/>
  <c r="AF25" s="1"/>
  <c r="L10" i="23"/>
  <c r="U33" i="10"/>
  <c r="S37" i="3"/>
  <c r="T31" i="10"/>
  <c r="R65"/>
  <c r="Q64"/>
  <c r="AG72" i="4"/>
  <c r="S35" i="3"/>
  <c r="S18" i="5"/>
  <c r="S131" i="10"/>
  <c r="R130"/>
  <c r="T37" i="9"/>
  <c r="AF27" i="4"/>
  <c r="W40" i="9"/>
  <c r="W39"/>
  <c r="V39"/>
  <c r="AF13" i="4"/>
  <c r="T17" i="9"/>
  <c r="R17" i="3"/>
  <c r="W188" i="10"/>
  <c r="W64" i="9"/>
  <c r="V63" i="10"/>
  <c r="Q12" i="5"/>
  <c r="S36" i="9"/>
  <c r="AE26" i="4"/>
  <c r="Q21" i="3"/>
  <c r="Q20"/>
  <c r="T19" i="9"/>
  <c r="AF15" i="4"/>
  <c r="R19" i="3"/>
  <c r="O124" i="10"/>
  <c r="N15" i="5"/>
  <c r="J12" i="23"/>
  <c r="T63" i="9"/>
  <c r="S97" i="10"/>
  <c r="S59" i="9"/>
  <c r="R28" i="3"/>
  <c r="M123" i="10"/>
  <c r="N75" i="8"/>
  <c r="M74"/>
  <c r="T25" i="9"/>
  <c r="AF20" i="4"/>
  <c r="V34" i="10"/>
  <c r="V61" i="9"/>
  <c r="U96" i="10"/>
  <c r="P57"/>
  <c r="P55" i="8"/>
  <c r="P53" s="1"/>
  <c r="R50" i="9"/>
  <c r="Q58" i="10"/>
  <c r="Q57"/>
  <c r="Q47" i="9"/>
  <c r="S35" i="10"/>
  <c r="S30"/>
  <c r="S29"/>
  <c r="T36"/>
  <c r="R39" i="3"/>
  <c r="N56"/>
  <c r="O105" i="8"/>
  <c r="W22" i="10"/>
  <c r="W21"/>
  <c r="V21"/>
  <c r="O54" i="3"/>
  <c r="O51" s="1"/>
  <c r="P98" i="8"/>
  <c r="P96" s="1"/>
  <c r="P125"/>
  <c r="S13" i="9"/>
  <c r="AF11" i="4"/>
  <c r="R14" i="3"/>
  <c r="T14" i="9"/>
  <c r="T49"/>
  <c r="T53"/>
  <c r="S69" i="10"/>
  <c r="S52" i="9"/>
  <c r="R27" i="3"/>
  <c r="N11" i="9"/>
  <c r="R19" i="5"/>
  <c r="AF73" i="4"/>
  <c r="AF70"/>
  <c r="S15" i="10"/>
  <c r="S14"/>
  <c r="M81" i="8"/>
  <c r="U19" i="9"/>
  <c r="AG15" i="4"/>
  <c r="S17" i="3"/>
  <c r="U17" i="9"/>
  <c r="AG13" i="4"/>
  <c r="I50" i="3"/>
  <c r="U37" i="9"/>
  <c r="AG27" i="4"/>
  <c r="T131" i="10"/>
  <c r="S130"/>
  <c r="AG30" i="4"/>
  <c r="AG29" s="1"/>
  <c r="AG28" s="1"/>
  <c r="AG25" s="1"/>
  <c r="T43" i="9"/>
  <c r="S24" i="3"/>
  <c r="U44" i="9"/>
  <c r="R167" i="10"/>
  <c r="R166" s="1"/>
  <c r="Q11" i="5"/>
  <c r="AH71" i="4"/>
  <c r="T34" i="3"/>
  <c r="T17" i="5"/>
  <c r="U43" i="10"/>
  <c r="T42"/>
  <c r="T41"/>
  <c r="S38" i="3"/>
  <c r="W62" i="9"/>
  <c r="W95" i="10"/>
  <c r="V95"/>
  <c r="P124"/>
  <c r="O15" i="5"/>
  <c r="K12" i="23"/>
  <c r="V190" i="10"/>
  <c r="U187"/>
  <c r="T41" i="3"/>
  <c r="T27" i="9"/>
  <c r="T110" i="10"/>
  <c r="U28" i="9"/>
  <c r="S161" i="10"/>
  <c r="R160"/>
  <c r="W91"/>
  <c r="W86"/>
  <c r="V86"/>
  <c r="S147"/>
  <c r="R146"/>
  <c r="R145"/>
  <c r="T37"/>
  <c r="R40" i="3"/>
  <c r="R36"/>
  <c r="W27" i="10"/>
  <c r="W26"/>
  <c r="V26"/>
  <c r="W24"/>
  <c r="W23"/>
  <c r="V23"/>
  <c r="V20"/>
  <c r="V16"/>
  <c r="S167"/>
  <c r="S166" s="1"/>
  <c r="S145" s="1"/>
  <c r="R11" i="5"/>
  <c r="T69" i="10"/>
  <c r="U53" i="9"/>
  <c r="T52"/>
  <c r="S27" i="3"/>
  <c r="U49" i="9"/>
  <c r="T13"/>
  <c r="U14"/>
  <c r="S14" i="3"/>
  <c r="S13" s="1"/>
  <c r="AG11" i="4"/>
  <c r="AF10"/>
  <c r="AF9" s="1"/>
  <c r="W20" i="10"/>
  <c r="W16"/>
  <c r="U36"/>
  <c r="T35"/>
  <c r="S39" i="3"/>
  <c r="P26"/>
  <c r="P25" s="1"/>
  <c r="P23" s="1"/>
  <c r="Q46" i="9"/>
  <c r="Q42"/>
  <c r="S50"/>
  <c r="R47"/>
  <c r="R58" i="10"/>
  <c r="R57" s="1"/>
  <c r="R56" s="1"/>
  <c r="W61" i="9"/>
  <c r="W96" i="10"/>
  <c r="V96"/>
  <c r="W34"/>
  <c r="U25" i="9"/>
  <c r="AG20" i="4"/>
  <c r="O75" i="8"/>
  <c r="N74"/>
  <c r="N95"/>
  <c r="U63" i="9"/>
  <c r="T97" i="10"/>
  <c r="T93"/>
  <c r="T71" s="1"/>
  <c r="T59" i="9"/>
  <c r="S28" i="3"/>
  <c r="O123" i="10"/>
  <c r="O70" i="8"/>
  <c r="R12" i="5"/>
  <c r="T36" i="9"/>
  <c r="R21" i="3"/>
  <c r="R20" s="1"/>
  <c r="AF26" i="4"/>
  <c r="W63" i="10"/>
  <c r="S65"/>
  <c r="R64"/>
  <c r="T30"/>
  <c r="T29"/>
  <c r="V33"/>
  <c r="T37" i="3"/>
  <c r="T36" s="1"/>
  <c r="T33" s="1"/>
  <c r="U31" i="10"/>
  <c r="U24" i="9"/>
  <c r="S16" i="3"/>
  <c r="V69" i="9"/>
  <c r="U66"/>
  <c r="T29" i="3"/>
  <c r="Q19" i="5"/>
  <c r="AE73" i="4"/>
  <c r="R15" i="10"/>
  <c r="R14"/>
  <c r="P56" i="8"/>
  <c r="O13" i="5"/>
  <c r="P35" i="9"/>
  <c r="P12"/>
  <c r="P11"/>
  <c r="AG19" i="4"/>
  <c r="U23" i="9"/>
  <c r="U22"/>
  <c r="AG18" i="4"/>
  <c r="AG17"/>
  <c r="U21" i="9"/>
  <c r="U20"/>
  <c r="AG16" i="4"/>
  <c r="S15" i="3"/>
  <c r="U16" i="9"/>
  <c r="AG12" i="4"/>
  <c r="Q145" i="10"/>
  <c r="W60" i="9"/>
  <c r="V94" i="10"/>
  <c r="V93" s="1"/>
  <c r="N123"/>
  <c r="N70" i="8"/>
  <c r="N69" s="1"/>
  <c r="N72" s="1"/>
  <c r="T18" i="5"/>
  <c r="T35" i="3"/>
  <c r="AH72" i="4"/>
  <c r="AH70" s="1"/>
  <c r="U34" i="3"/>
  <c r="U17" i="5"/>
  <c r="AI71" i="4"/>
  <c r="V16" i="9"/>
  <c r="AH12" i="4"/>
  <c r="T15" i="3"/>
  <c r="W94" i="10"/>
  <c r="W93" s="1"/>
  <c r="V20" i="9"/>
  <c r="AH16" i="4"/>
  <c r="V22" i="9"/>
  <c r="AH18" i="4"/>
  <c r="W69" i="9"/>
  <c r="W66"/>
  <c r="V29" i="3"/>
  <c r="V66" i="9"/>
  <c r="U29" i="3"/>
  <c r="S19" i="5"/>
  <c r="AG73" i="4"/>
  <c r="AG70"/>
  <c r="S128" i="3" s="1"/>
  <c r="T15" i="10"/>
  <c r="T14"/>
  <c r="S12" i="5"/>
  <c r="U36" i="9"/>
  <c r="AG26" i="4"/>
  <c r="S21" i="3"/>
  <c r="S20" s="1"/>
  <c r="V63" i="9"/>
  <c r="U97" i="10"/>
  <c r="U93" s="1"/>
  <c r="U59" i="9"/>
  <c r="T28" i="3"/>
  <c r="P75" i="8"/>
  <c r="O74"/>
  <c r="O95"/>
  <c r="R46" i="9"/>
  <c r="R42"/>
  <c r="Q26" i="3"/>
  <c r="Q25"/>
  <c r="Q23" s="1"/>
  <c r="Q35" i="9"/>
  <c r="Q12"/>
  <c r="Q11"/>
  <c r="P13" i="5"/>
  <c r="V36" i="10"/>
  <c r="T39" i="3"/>
  <c r="V17" i="5"/>
  <c r="V34" i="3"/>
  <c r="AJ71" i="4"/>
  <c r="AJ70" s="1"/>
  <c r="T167" i="10"/>
  <c r="T166" s="1"/>
  <c r="T145" s="1"/>
  <c r="S60" i="3" s="1"/>
  <c r="S59" s="1"/>
  <c r="S62" s="1"/>
  <c r="S11" i="5"/>
  <c r="V18"/>
  <c r="V35" i="3"/>
  <c r="AJ72" i="4"/>
  <c r="S40" i="3"/>
  <c r="S36"/>
  <c r="S33" s="1"/>
  <c r="U37" i="10"/>
  <c r="U35"/>
  <c r="U30"/>
  <c r="U29"/>
  <c r="T147"/>
  <c r="S146"/>
  <c r="T161"/>
  <c r="S160"/>
  <c r="W190"/>
  <c r="W187"/>
  <c r="V41" i="3"/>
  <c r="V187" i="10"/>
  <c r="U41" i="3"/>
  <c r="P123" i="10"/>
  <c r="P70" i="8"/>
  <c r="U131" i="10"/>
  <c r="T130"/>
  <c r="V37" i="9"/>
  <c r="AH27" i="4"/>
  <c r="S19" i="3"/>
  <c r="N10" i="23"/>
  <c r="R128" i="3"/>
  <c r="R126"/>
  <c r="V21" i="9"/>
  <c r="AH17" i="4"/>
  <c r="V23" i="9"/>
  <c r="AH19" i="4"/>
  <c r="V24" i="9"/>
  <c r="T16" i="3"/>
  <c r="W33" i="10"/>
  <c r="U37" i="3"/>
  <c r="V31" i="10"/>
  <c r="T65"/>
  <c r="S64"/>
  <c r="N60" i="3"/>
  <c r="N59" s="1"/>
  <c r="N81" i="8"/>
  <c r="V25" i="9"/>
  <c r="AH20" i="4"/>
  <c r="T50" i="9"/>
  <c r="S58" i="10"/>
  <c r="S57" s="1"/>
  <c r="S47" i="9"/>
  <c r="AG10" i="4"/>
  <c r="AG9" s="1"/>
  <c r="U13" i="9"/>
  <c r="V14"/>
  <c r="AH11" i="4"/>
  <c r="T14" i="3"/>
  <c r="V49" i="9"/>
  <c r="V53"/>
  <c r="U69" i="10"/>
  <c r="U52" i="9"/>
  <c r="T27" i="3"/>
  <c r="U18" i="5"/>
  <c r="AI72" i="4"/>
  <c r="U35" i="3"/>
  <c r="V28" i="9"/>
  <c r="U27"/>
  <c r="U110" i="10"/>
  <c r="V43"/>
  <c r="U42"/>
  <c r="U41"/>
  <c r="T38" i="3"/>
  <c r="V44" i="9"/>
  <c r="U43"/>
  <c r="T24" i="3"/>
  <c r="AH30" i="4"/>
  <c r="AH29" s="1"/>
  <c r="AH28" s="1"/>
  <c r="AH25" s="1"/>
  <c r="I93" i="3"/>
  <c r="V17" i="9"/>
  <c r="AH13" i="4"/>
  <c r="T17" i="3"/>
  <c r="V19" i="9"/>
  <c r="AH15" i="4"/>
  <c r="T19" i="3"/>
  <c r="T19" i="5"/>
  <c r="AH73" i="4"/>
  <c r="U15" i="10"/>
  <c r="U14"/>
  <c r="W43"/>
  <c r="V42"/>
  <c r="V41"/>
  <c r="U38" i="3"/>
  <c r="U36" s="1"/>
  <c r="U33" s="1"/>
  <c r="W28" i="9"/>
  <c r="W27"/>
  <c r="W110" i="10"/>
  <c r="V27" i="9"/>
  <c r="V110" i="10"/>
  <c r="W19" i="9"/>
  <c r="AI15" i="4"/>
  <c r="U19" i="3"/>
  <c r="W44" i="9"/>
  <c r="AI30" i="4"/>
  <c r="AI29"/>
  <c r="AI28" s="1"/>
  <c r="AI25" s="1"/>
  <c r="V43" i="9"/>
  <c r="U24" i="3"/>
  <c r="V69" i="10"/>
  <c r="V64" s="1"/>
  <c r="W53" i="9"/>
  <c r="V52"/>
  <c r="U27" i="3"/>
  <c r="T13"/>
  <c r="W14" i="9"/>
  <c r="V13"/>
  <c r="U14" i="3"/>
  <c r="AI11" i="4"/>
  <c r="AI10" s="1"/>
  <c r="AI9" s="1"/>
  <c r="U65" i="10"/>
  <c r="T64"/>
  <c r="W24" i="9"/>
  <c r="V16" i="3"/>
  <c r="U16"/>
  <c r="U13" s="1"/>
  <c r="W37" i="9"/>
  <c r="AJ27" i="4"/>
  <c r="AI27"/>
  <c r="V131" i="10"/>
  <c r="U130"/>
  <c r="U147"/>
  <c r="T146"/>
  <c r="W36"/>
  <c r="U39" i="3"/>
  <c r="R35" i="9"/>
  <c r="R12"/>
  <c r="R11"/>
  <c r="Q13" i="5"/>
  <c r="O81" i="8"/>
  <c r="W63" i="9"/>
  <c r="V97" i="10"/>
  <c r="V59" i="9"/>
  <c r="U28" i="3"/>
  <c r="O10" i="23"/>
  <c r="S126" i="3"/>
  <c r="W16" i="9"/>
  <c r="AI12" i="4"/>
  <c r="U15" i="3"/>
  <c r="W17" i="9"/>
  <c r="U17" i="3"/>
  <c r="AI13" i="4"/>
  <c r="W49" i="9"/>
  <c r="AH10" i="4"/>
  <c r="AH9" s="1"/>
  <c r="U167" i="10"/>
  <c r="U166"/>
  <c r="U145" s="1"/>
  <c r="T11" i="5"/>
  <c r="S46" i="9"/>
  <c r="S42"/>
  <c r="R26" i="3"/>
  <c r="R25"/>
  <c r="R23" s="1"/>
  <c r="U50" i="9"/>
  <c r="T58" i="10"/>
  <c r="T57" s="1"/>
  <c r="T56" s="1"/>
  <c r="T47" i="9"/>
  <c r="W25"/>
  <c r="AJ20" i="4"/>
  <c r="AI20"/>
  <c r="V37" i="3"/>
  <c r="W31" i="10"/>
  <c r="W23" i="9"/>
  <c r="AJ19" i="4"/>
  <c r="AI19"/>
  <c r="W21" i="9"/>
  <c r="AJ17" i="4"/>
  <c r="AI17"/>
  <c r="U161" i="10"/>
  <c r="T160"/>
  <c r="V37"/>
  <c r="T40" i="3"/>
  <c r="Q75" i="8"/>
  <c r="P74"/>
  <c r="T12" i="5"/>
  <c r="V36" i="9"/>
  <c r="AH26" i="4"/>
  <c r="T21" i="3"/>
  <c r="T20"/>
  <c r="W22" i="9"/>
  <c r="AJ18" i="4"/>
  <c r="AI18"/>
  <c r="W20" i="9"/>
  <c r="AJ16" i="4"/>
  <c r="AI16"/>
  <c r="P81" i="8"/>
  <c r="U12" i="5"/>
  <c r="W36" i="9"/>
  <c r="U21" i="3"/>
  <c r="U20" s="1"/>
  <c r="AI26" i="4"/>
  <c r="Q74" i="8"/>
  <c r="Q95"/>
  <c r="W37" i="10"/>
  <c r="V40" i="3"/>
  <c r="U40"/>
  <c r="V161" i="10"/>
  <c r="U160"/>
  <c r="T46" i="9"/>
  <c r="T42"/>
  <c r="S26" i="3"/>
  <c r="S25" s="1"/>
  <c r="S23" s="1"/>
  <c r="V50" i="9"/>
  <c r="U47"/>
  <c r="U58" i="10"/>
  <c r="U57" s="1"/>
  <c r="R13" i="5"/>
  <c r="S35" i="9"/>
  <c r="S12"/>
  <c r="S11"/>
  <c r="V15" i="3"/>
  <c r="AJ12" i="4"/>
  <c r="W97" i="10"/>
  <c r="W59" i="9"/>
  <c r="V28" i="3"/>
  <c r="V35" i="10"/>
  <c r="V30"/>
  <c r="V29"/>
  <c r="V147"/>
  <c r="U146"/>
  <c r="V14" i="3"/>
  <c r="AJ11" i="4"/>
  <c r="W13" i="9"/>
  <c r="AJ30" i="4"/>
  <c r="AJ29"/>
  <c r="AJ28" s="1"/>
  <c r="AJ25" s="1"/>
  <c r="AJ9" s="1"/>
  <c r="AJ59" s="1"/>
  <c r="W43" i="9"/>
  <c r="V24" i="3"/>
  <c r="AJ15" i="4"/>
  <c r="V19" i="3"/>
  <c r="V17"/>
  <c r="AJ13" i="4"/>
  <c r="V39" i="3"/>
  <c r="W35" i="10"/>
  <c r="W30"/>
  <c r="W29"/>
  <c r="W131"/>
  <c r="W130"/>
  <c r="V130"/>
  <c r="V65"/>
  <c r="U64"/>
  <c r="V167"/>
  <c r="V166" s="1"/>
  <c r="V145" s="1"/>
  <c r="U11" i="5"/>
  <c r="W52" i="9"/>
  <c r="V27" i="3"/>
  <c r="W69" i="10"/>
  <c r="W42"/>
  <c r="W41"/>
  <c r="V38" i="3"/>
  <c r="V36" s="1"/>
  <c r="V33" s="1"/>
  <c r="V19" i="5"/>
  <c r="AJ73" i="4"/>
  <c r="W15" i="10"/>
  <c r="W14"/>
  <c r="W65"/>
  <c r="W64"/>
  <c r="V11" i="5"/>
  <c r="W167" i="10"/>
  <c r="W166" s="1"/>
  <c r="W145" s="1"/>
  <c r="V13" i="3"/>
  <c r="U19" i="5"/>
  <c r="AI73" i="4"/>
  <c r="AI70" s="1"/>
  <c r="V15" i="10"/>
  <c r="V14"/>
  <c r="W50" i="9"/>
  <c r="V58" i="10"/>
  <c r="V57" s="1"/>
  <c r="V47" i="9"/>
  <c r="S13" i="5"/>
  <c r="T35" i="9"/>
  <c r="T12"/>
  <c r="T11"/>
  <c r="V12" i="5"/>
  <c r="V21" i="3"/>
  <c r="V20"/>
  <c r="AJ26" i="4"/>
  <c r="AJ10"/>
  <c r="W147" i="10"/>
  <c r="W146"/>
  <c r="V146"/>
  <c r="U46" i="9"/>
  <c r="U42"/>
  <c r="T26" i="3"/>
  <c r="T25" s="1"/>
  <c r="T23" s="1"/>
  <c r="W161" i="10"/>
  <c r="W160"/>
  <c r="V160"/>
  <c r="Q81" i="8"/>
  <c r="T13" i="5"/>
  <c r="U35" i="9"/>
  <c r="U12"/>
  <c r="U11"/>
  <c r="V46"/>
  <c r="V42"/>
  <c r="U26" i="3"/>
  <c r="U25" s="1"/>
  <c r="U23" s="1"/>
  <c r="W58" i="10"/>
  <c r="W57" s="1"/>
  <c r="W47" i="9"/>
  <c r="U13" i="5"/>
  <c r="V35" i="9"/>
  <c r="V12"/>
  <c r="V11"/>
  <c r="V26" i="3"/>
  <c r="V25" s="1"/>
  <c r="V23" s="1"/>
  <c r="W46" i="9"/>
  <c r="W42"/>
  <c r="V125" i="3"/>
  <c r="R9" i="23"/>
  <c r="V13" i="5"/>
  <c r="W35" i="9"/>
  <c r="W12"/>
  <c r="W11"/>
  <c r="D149" i="2"/>
  <c r="O149" s="1"/>
  <c r="D142"/>
  <c r="K76" i="4"/>
  <c r="O71" i="2"/>
  <c r="M64" i="8"/>
  <c r="G52" i="7"/>
  <c r="G53"/>
  <c r="G61"/>
  <c r="D207" i="2"/>
  <c r="O207"/>
  <c r="D185"/>
  <c r="O185"/>
  <c r="D179"/>
  <c r="O179"/>
  <c r="D105"/>
  <c r="O105"/>
  <c r="P91"/>
  <c r="D76" i="4"/>
  <c r="C42" i="7" s="1"/>
  <c r="G42"/>
  <c r="P27" i="2"/>
  <c r="D224"/>
  <c r="D202"/>
  <c r="O39"/>
  <c r="D35"/>
  <c r="O35" s="1"/>
  <c r="D91"/>
  <c r="O167"/>
  <c r="D165"/>
  <c r="O224"/>
  <c r="O211" s="1"/>
  <c r="D211"/>
  <c r="O202"/>
  <c r="D201"/>
  <c r="C107" i="7"/>
  <c r="G107" s="1"/>
  <c r="D215" i="2"/>
  <c r="O232"/>
  <c r="O215"/>
  <c r="P224"/>
  <c r="P211"/>
  <c r="G44" i="7"/>
  <c r="C45"/>
  <c r="O233" i="2"/>
  <c r="O216" s="1"/>
  <c r="D216"/>
  <c r="O226"/>
  <c r="O213"/>
  <c r="O142"/>
  <c r="D127"/>
  <c r="O127" s="1"/>
  <c r="C17" i="5"/>
  <c r="D27" i="2"/>
  <c r="K71" i="4" s="1"/>
  <c r="C156" i="7"/>
  <c r="G156" s="1"/>
  <c r="O201" i="2"/>
  <c r="D164"/>
  <c r="O164"/>
  <c r="O165"/>
  <c r="C106" i="7"/>
  <c r="C105" s="1"/>
  <c r="G105" s="1"/>
  <c r="O91" i="2"/>
  <c r="D90"/>
  <c r="O90" s="1"/>
  <c r="K77" i="4"/>
  <c r="D77"/>
  <c r="D17" i="5"/>
  <c r="C16"/>
  <c r="O27" i="2"/>
  <c r="G106" i="7"/>
  <c r="C61" i="5"/>
  <c r="C60" i="11" s="1"/>
  <c r="E17" i="5"/>
  <c r="E16" s="1"/>
  <c r="D16"/>
  <c r="D61" s="1"/>
  <c r="C134" i="3" s="1"/>
  <c r="C104" i="7"/>
  <c r="G104" s="1"/>
  <c r="D71" i="4"/>
  <c r="E61" i="5"/>
  <c r="E60" i="11" s="1"/>
  <c r="G45" i="7" l="1"/>
  <c r="C43"/>
  <c r="R16" i="23"/>
  <c r="U128" i="3"/>
  <c r="Q10" i="23"/>
  <c r="U126" i="3"/>
  <c r="AI59" i="4"/>
  <c r="U125" i="3"/>
  <c r="S125"/>
  <c r="S127" s="1"/>
  <c r="AG59" i="4"/>
  <c r="T128" i="3"/>
  <c r="T126"/>
  <c r="P10" i="23"/>
  <c r="AH80" i="4"/>
  <c r="AF59"/>
  <c r="R125" i="3"/>
  <c r="R129" s="1"/>
  <c r="Q126"/>
  <c r="Q128"/>
  <c r="Q129" s="1"/>
  <c r="M10" i="23"/>
  <c r="F38" i="7"/>
  <c r="I77" i="3"/>
  <c r="I63"/>
  <c r="I96" s="1"/>
  <c r="V12"/>
  <c r="T12"/>
  <c r="S12"/>
  <c r="R12"/>
  <c r="P64" i="8"/>
  <c r="L12" i="3"/>
  <c r="C39" i="7"/>
  <c r="T125" i="3"/>
  <c r="AH59" i="4"/>
  <c r="P9" i="23" s="1"/>
  <c r="R10"/>
  <c r="R11" s="1"/>
  <c r="R15" s="1"/>
  <c r="V128" i="3"/>
  <c r="V129" s="1"/>
  <c r="AJ80" i="4"/>
  <c r="V126" i="3"/>
  <c r="V127" s="1"/>
  <c r="U71" i="10"/>
  <c r="T60" i="3"/>
  <c r="T59" s="1"/>
  <c r="T62" s="1"/>
  <c r="W71" i="10"/>
  <c r="W56" s="1"/>
  <c r="V60" i="3"/>
  <c r="V59" s="1"/>
  <c r="V62" s="1"/>
  <c r="V71" i="10"/>
  <c r="V56" s="1"/>
  <c r="U60" i="3"/>
  <c r="U59" s="1"/>
  <c r="U62" s="1"/>
  <c r="AE59" i="4"/>
  <c r="M9" i="23" s="1"/>
  <c r="Q125" i="3"/>
  <c r="M95"/>
  <c r="M11"/>
  <c r="M86" s="1"/>
  <c r="E187" i="7"/>
  <c r="E29"/>
  <c r="C14" i="5"/>
  <c r="D14" s="1"/>
  <c r="D60" i="11"/>
  <c r="D75" i="2"/>
  <c r="U56" i="10"/>
  <c r="U12" i="3"/>
  <c r="P69" i="8"/>
  <c r="P72" s="1"/>
  <c r="S129" i="3"/>
  <c r="P12"/>
  <c r="N62"/>
  <c r="C20" i="5"/>
  <c r="D20" s="1"/>
  <c r="I31" i="3"/>
  <c r="I87" s="1"/>
  <c r="I92"/>
  <c r="P29" i="8"/>
  <c r="P86"/>
  <c r="P84" s="1"/>
  <c r="P128" i="3"/>
  <c r="P126"/>
  <c r="P62" i="8"/>
  <c r="P61" s="1"/>
  <c r="P64" i="10"/>
  <c r="C126" i="3"/>
  <c r="L45" i="8"/>
  <c r="L119" s="1"/>
  <c r="L118" s="1"/>
  <c r="L142" s="1"/>
  <c r="L145" s="1"/>
  <c r="L144" s="1"/>
  <c r="L156" s="1"/>
  <c r="L159" s="1"/>
  <c r="L158" s="1"/>
  <c r="L161" s="1"/>
  <c r="L31" i="4"/>
  <c r="L61" i="1"/>
  <c r="G116" i="7"/>
  <c r="M85" i="8"/>
  <c r="M28"/>
  <c r="Z10" i="4"/>
  <c r="P166" i="10"/>
  <c r="P145" s="1"/>
  <c r="O60" i="3" s="1"/>
  <c r="O59" s="1"/>
  <c r="O62" s="1"/>
  <c r="P71" i="8"/>
  <c r="O39"/>
  <c r="O36" s="1"/>
  <c r="AB70" i="4"/>
  <c r="O62" i="8"/>
  <c r="O61" s="1"/>
  <c r="O64" s="1"/>
  <c r="O64" i="10"/>
  <c r="D63" i="7"/>
  <c r="F57"/>
  <c r="N39" i="8"/>
  <c r="N36" s="1"/>
  <c r="AA70" i="4"/>
  <c r="M166" i="10"/>
  <c r="M145" s="1"/>
  <c r="M71" i="8"/>
  <c r="M69" s="1"/>
  <c r="M72" s="1"/>
  <c r="E10" i="23"/>
  <c r="I126" i="3"/>
  <c r="D12" i="46"/>
  <c r="F12" s="1"/>
  <c r="E12"/>
  <c r="B11"/>
  <c r="L70" i="8"/>
  <c r="L69" s="1"/>
  <c r="H60" i="3"/>
  <c r="H59" s="1"/>
  <c r="H62" s="1"/>
  <c r="I110" i="8"/>
  <c r="I109" s="1"/>
  <c r="I108" s="1"/>
  <c r="I22" s="1"/>
  <c r="I108" i="10"/>
  <c r="O26" i="5"/>
  <c r="N63"/>
  <c r="N145" i="3"/>
  <c r="D49" i="46"/>
  <c r="F49" s="1"/>
  <c r="E49"/>
  <c r="B45"/>
  <c r="L162" i="8"/>
  <c r="Q93" i="10"/>
  <c r="N27" i="8"/>
  <c r="Z25" i="4"/>
  <c r="M35" i="8" s="1"/>
  <c r="I62" i="3"/>
  <c r="O71" i="8"/>
  <c r="O69" s="1"/>
  <c r="O72" s="1"/>
  <c r="M33" i="3"/>
  <c r="L60"/>
  <c r="L59" s="1"/>
  <c r="L62" s="1"/>
  <c r="AC70" i="4"/>
  <c r="Q13" i="3"/>
  <c r="Q12" s="1"/>
  <c r="AC10" i="4"/>
  <c r="S93" i="10"/>
  <c r="K93" i="8"/>
  <c r="C128" i="3"/>
  <c r="P36"/>
  <c r="P33" s="1"/>
  <c r="P36" i="8"/>
  <c r="Y80" i="4"/>
  <c r="T30" i="5"/>
  <c r="G11" i="23"/>
  <c r="G15" s="1"/>
  <c r="G17" s="1"/>
  <c r="G20" s="1"/>
  <c r="N12" i="3"/>
  <c r="L56" i="8"/>
  <c r="K60" i="3"/>
  <c r="K59" s="1"/>
  <c r="K62" s="1"/>
  <c r="E23" i="46"/>
  <c r="AA25" i="4"/>
  <c r="N35" i="8" s="1"/>
  <c r="N34" s="1"/>
  <c r="N130" s="1"/>
  <c r="F57" i="22"/>
  <c r="C57" i="1"/>
  <c r="E70" i="4"/>
  <c r="J55" i="10"/>
  <c r="J13" s="1"/>
  <c r="O11" i="3"/>
  <c r="O86" s="1"/>
  <c r="O95"/>
  <c r="D75" i="11"/>
  <c r="D74" s="1"/>
  <c r="M39" i="8"/>
  <c r="M36" s="1"/>
  <c r="Z70" i="4"/>
  <c r="O29" i="8"/>
  <c r="O86"/>
  <c r="O84" s="1"/>
  <c r="AB10" i="4"/>
  <c r="J29"/>
  <c r="J28" s="1"/>
  <c r="J25" s="1"/>
  <c r="E30"/>
  <c r="E29" s="1"/>
  <c r="E28" s="1"/>
  <c r="C126" i="7"/>
  <c r="C36"/>
  <c r="E37"/>
  <c r="E90"/>
  <c r="F9" i="4"/>
  <c r="E86" i="7"/>
  <c r="J25" i="2"/>
  <c r="N26"/>
  <c r="C33" i="3"/>
  <c r="D13" i="5"/>
  <c r="C10"/>
  <c r="G58" i="7"/>
  <c r="C57"/>
  <c r="F118"/>
  <c r="D116"/>
  <c r="F116" s="1"/>
  <c r="Q60" i="3"/>
  <c r="Q59" s="1"/>
  <c r="Q62" s="1"/>
  <c r="AD9" i="4"/>
  <c r="AC25"/>
  <c r="P35" i="8" s="1"/>
  <c r="E26" i="4"/>
  <c r="K12" i="3"/>
  <c r="M96" i="8"/>
  <c r="I57" i="22"/>
  <c r="B11" i="23"/>
  <c r="B15" s="1"/>
  <c r="B17" s="1"/>
  <c r="B20" s="1"/>
  <c r="J21" i="4"/>
  <c r="G115" i="8"/>
  <c r="G146" s="1"/>
  <c r="E181" i="7"/>
  <c r="G31"/>
  <c r="F111" i="1"/>
  <c r="D98" i="7"/>
  <c r="F98" s="1"/>
  <c r="D47" i="2"/>
  <c r="O48"/>
  <c r="M29" i="8"/>
  <c r="M86"/>
  <c r="D9" i="4"/>
  <c r="L59" s="1"/>
  <c r="C35" i="7"/>
  <c r="C86"/>
  <c r="F96"/>
  <c r="G68"/>
  <c r="C67"/>
  <c r="D13" i="46"/>
  <c r="F13" s="1"/>
  <c r="E13"/>
  <c r="C96" i="7"/>
  <c r="G96" s="1"/>
  <c r="C119"/>
  <c r="G119" s="1"/>
  <c r="C87" i="1"/>
  <c r="L87" s="1"/>
  <c r="G50" i="3"/>
  <c r="G31"/>
  <c r="G87" s="1"/>
  <c r="P123"/>
  <c r="J130"/>
  <c r="T80" i="4"/>
  <c r="H91" i="8"/>
  <c r="H83" s="1"/>
  <c r="H114" s="1"/>
  <c r="H115" s="1"/>
  <c r="H146" s="1"/>
  <c r="E42" i="1"/>
  <c r="E24" i="4"/>
  <c r="E21" s="1"/>
  <c r="I44" i="1"/>
  <c r="I48"/>
  <c r="G91" i="8"/>
  <c r="G83" s="1"/>
  <c r="G114" s="1"/>
  <c r="O1" i="6"/>
  <c r="P1" s="1"/>
  <c r="Q1" s="1"/>
  <c r="E31" i="46"/>
  <c r="I162" i="8"/>
  <c r="F22"/>
  <c r="D14" i="46"/>
  <c r="F14" s="1"/>
  <c r="E14"/>
  <c r="D25"/>
  <c r="F25" s="1"/>
  <c r="E25"/>
  <c r="D16"/>
  <c r="F16" s="1"/>
  <c r="E16"/>
  <c r="D18"/>
  <c r="F18" s="1"/>
  <c r="E18"/>
  <c r="D20"/>
  <c r="F20" s="1"/>
  <c r="E20"/>
  <c r="B40"/>
  <c r="D42"/>
  <c r="F42" s="1"/>
  <c r="E42"/>
  <c r="G78" i="3"/>
  <c r="G72" s="1"/>
  <c r="G154"/>
  <c r="G91"/>
  <c r="E78" i="1"/>
  <c r="I79"/>
  <c r="I51"/>
  <c r="F51"/>
  <c r="I41"/>
  <c r="D85" i="7"/>
  <c r="I39" i="1"/>
  <c r="M19" i="4"/>
  <c r="F111" i="22"/>
  <c r="I111"/>
  <c r="E87"/>
  <c r="J34" i="8"/>
  <c r="J130" s="1"/>
  <c r="J27"/>
  <c r="J26" s="1"/>
  <c r="H125" i="3"/>
  <c r="V59" i="4"/>
  <c r="C36" i="11"/>
  <c r="C46"/>
  <c r="C73"/>
  <c r="L108"/>
  <c r="C48"/>
  <c r="C49" s="1"/>
  <c r="C14"/>
  <c r="C8"/>
  <c r="C9" s="1"/>
  <c r="C24"/>
  <c r="E23" i="4"/>
  <c r="J12" i="3"/>
  <c r="P46" i="2"/>
  <c r="Q22" i="8"/>
  <c r="H22"/>
  <c r="E72" i="7"/>
  <c r="F73"/>
  <c r="C188"/>
  <c r="C94"/>
  <c r="C92" s="1"/>
  <c r="G92" s="1"/>
  <c r="C121"/>
  <c r="D88"/>
  <c r="D122"/>
  <c r="F122" s="1"/>
  <c r="E121"/>
  <c r="E74"/>
  <c r="F76"/>
  <c r="D105"/>
  <c r="F107"/>
  <c r="C129"/>
  <c r="C133"/>
  <c r="G133" s="1"/>
  <c r="C137"/>
  <c r="G137" s="1"/>
  <c r="C146"/>
  <c r="C143" s="1"/>
  <c r="G143" s="1"/>
  <c r="C150"/>
  <c r="D33" i="8"/>
  <c r="D90"/>
  <c r="D131"/>
  <c r="D22" s="1"/>
  <c r="C147"/>
  <c r="C22" s="1"/>
  <c r="I84"/>
  <c r="I83" s="1"/>
  <c r="E96"/>
  <c r="E95"/>
  <c r="D96"/>
  <c r="D95"/>
  <c r="D72"/>
  <c r="F101" i="7"/>
  <c r="G150"/>
  <c r="F130"/>
  <c r="F68"/>
  <c r="E43"/>
  <c r="D43"/>
  <c r="F94"/>
  <c r="G94"/>
  <c r="E127"/>
  <c r="F129"/>
  <c r="E60"/>
  <c r="F62"/>
  <c r="E14" i="3"/>
  <c r="E15"/>
  <c r="E18"/>
  <c r="C75" i="7"/>
  <c r="D43" i="11"/>
  <c r="W9" i="4"/>
  <c r="D58" i="11"/>
  <c r="D24"/>
  <c r="D8"/>
  <c r="Q34" i="8"/>
  <c r="Q130" s="1"/>
  <c r="L84"/>
  <c r="J64"/>
  <c r="J115" s="1"/>
  <c r="J146" s="1"/>
  <c r="H27"/>
  <c r="H26" s="1"/>
  <c r="D27"/>
  <c r="C27"/>
  <c r="C26" s="1"/>
  <c r="G62" i="7"/>
  <c r="E31" i="1"/>
  <c r="L31"/>
  <c r="F34"/>
  <c r="I34"/>
  <c r="F36"/>
  <c r="I36"/>
  <c r="I52"/>
  <c r="F52"/>
  <c r="F64"/>
  <c r="I64"/>
  <c r="F74" i="22"/>
  <c r="I74"/>
  <c r="P210" i="2"/>
  <c r="P207" s="1"/>
  <c r="P205"/>
  <c r="P202" s="1"/>
  <c r="P201" s="1"/>
  <c r="P199"/>
  <c r="P195"/>
  <c r="P191"/>
  <c r="P187"/>
  <c r="P185" s="1"/>
  <c r="P182"/>
  <c r="P179" s="1"/>
  <c r="P164" s="1"/>
  <c r="P162"/>
  <c r="P158"/>
  <c r="P154"/>
  <c r="P150"/>
  <c r="P145"/>
  <c r="P142" s="1"/>
  <c r="P125"/>
  <c r="P121"/>
  <c r="P117"/>
  <c r="P113"/>
  <c r="P112" s="1"/>
  <c r="P108"/>
  <c r="P105" s="1"/>
  <c r="P88"/>
  <c r="P84"/>
  <c r="P79"/>
  <c r="P76" s="1"/>
  <c r="P72"/>
  <c r="P71" s="1"/>
  <c r="C21" i="5" s="1"/>
  <c r="L111" i="10"/>
  <c r="M111" s="1"/>
  <c r="K109"/>
  <c r="K132" i="3"/>
  <c r="L9" i="5"/>
  <c r="I101" i="1"/>
  <c r="I100"/>
  <c r="M82" i="22"/>
  <c r="E53" i="1"/>
  <c r="L53"/>
  <c r="E56"/>
  <c r="L56"/>
  <c r="I125" i="22"/>
  <c r="F125"/>
  <c r="F78"/>
  <c r="I78"/>
  <c r="F58"/>
  <c r="I58"/>
  <c r="E30"/>
  <c r="L30"/>
  <c r="U42" i="5"/>
  <c r="U143" i="3"/>
  <c r="V42" i="5"/>
  <c r="V143" i="3"/>
  <c r="E57"/>
  <c r="Q28" i="4"/>
  <c r="Q25" s="1"/>
  <c r="R28"/>
  <c r="R25" s="1"/>
  <c r="S28"/>
  <c r="S25" s="1"/>
  <c r="U9"/>
  <c r="M130" i="22"/>
  <c r="M128"/>
  <c r="M127"/>
  <c r="M125" s="1"/>
  <c r="M124"/>
  <c r="M122"/>
  <c r="M120"/>
  <c r="M118"/>
  <c r="M116"/>
  <c r="M115"/>
  <c r="M112"/>
  <c r="M109"/>
  <c r="M107"/>
  <c r="M105"/>
  <c r="M103"/>
  <c r="M102"/>
  <c r="M97"/>
  <c r="M95"/>
  <c r="M93"/>
  <c r="M92"/>
  <c r="M89"/>
  <c r="M84"/>
  <c r="M86"/>
  <c r="M81"/>
  <c r="M79"/>
  <c r="M78" s="1"/>
  <c r="M77"/>
  <c r="M75"/>
  <c r="M74" s="1"/>
  <c r="M60"/>
  <c r="M58" s="1"/>
  <c r="M73"/>
  <c r="M71"/>
  <c r="M69"/>
  <c r="M67"/>
  <c r="M66"/>
  <c r="M65" s="1"/>
  <c r="M64"/>
  <c r="M62" s="1"/>
  <c r="M55"/>
  <c r="M54" s="1"/>
  <c r="M52"/>
  <c r="M41"/>
  <c r="M49"/>
  <c r="M47"/>
  <c r="M45"/>
  <c r="M43"/>
  <c r="M42" s="1"/>
  <c r="M39"/>
  <c r="M37"/>
  <c r="M35"/>
  <c r="M33"/>
  <c r="M29" s="1"/>
  <c r="C43"/>
  <c r="C39"/>
  <c r="C37"/>
  <c r="C35"/>
  <c r="C33"/>
  <c r="M116" i="1"/>
  <c r="M115"/>
  <c r="P143" i="3"/>
  <c r="U9"/>
  <c r="U124" s="1"/>
  <c r="V10" i="10"/>
  <c r="E35" i="22" l="1"/>
  <c r="L35"/>
  <c r="L39"/>
  <c r="E39"/>
  <c r="U59" i="4"/>
  <c r="G125" i="3"/>
  <c r="R9" i="4"/>
  <c r="R59" s="1"/>
  <c r="R80" s="1"/>
  <c r="E35" i="8"/>
  <c r="E34" s="1"/>
  <c r="E94"/>
  <c r="E91" s="1"/>
  <c r="E83" s="1"/>
  <c r="E114" s="1"/>
  <c r="E115" s="1"/>
  <c r="E146" s="1"/>
  <c r="V64" i="5"/>
  <c r="U64"/>
  <c r="F30" i="22"/>
  <c r="I30"/>
  <c r="I56" i="1"/>
  <c r="F56"/>
  <c r="E54"/>
  <c r="I53"/>
  <c r="F53"/>
  <c r="N111" i="10"/>
  <c r="M109"/>
  <c r="W59" i="4"/>
  <c r="I125" i="3"/>
  <c r="I129" s="1"/>
  <c r="C74" i="7"/>
  <c r="C77" s="1"/>
  <c r="G75"/>
  <c r="F43"/>
  <c r="E22"/>
  <c r="G43"/>
  <c r="G121"/>
  <c r="F121"/>
  <c r="D91"/>
  <c r="F91" s="1"/>
  <c r="F88"/>
  <c r="C19" i="5"/>
  <c r="P26" i="2"/>
  <c r="J95" i="3"/>
  <c r="J11"/>
  <c r="J86" s="1"/>
  <c r="V80" i="4"/>
  <c r="D9" i="23"/>
  <c r="J45" i="8"/>
  <c r="J119" s="1"/>
  <c r="J118" s="1"/>
  <c r="J142" s="1"/>
  <c r="J145" s="1"/>
  <c r="J144" s="1"/>
  <c r="J156" s="1"/>
  <c r="J159" s="1"/>
  <c r="J158" s="1"/>
  <c r="J161" s="1"/>
  <c r="J21"/>
  <c r="F87" i="22"/>
  <c r="I87"/>
  <c r="E19" i="4"/>
  <c r="E10" s="1"/>
  <c r="J19"/>
  <c r="J10" s="1"/>
  <c r="J9" s="1"/>
  <c r="F85" i="7"/>
  <c r="D80"/>
  <c r="G75" i="3"/>
  <c r="G88"/>
  <c r="G76" s="1"/>
  <c r="C187" i="7"/>
  <c r="C29"/>
  <c r="C28" s="1"/>
  <c r="P125" i="3"/>
  <c r="AD59" i="4"/>
  <c r="G57" i="7"/>
  <c r="C63"/>
  <c r="C60" i="5"/>
  <c r="C59" i="11" s="1"/>
  <c r="C22" i="5"/>
  <c r="C62" s="1"/>
  <c r="C61" i="11" s="1"/>
  <c r="C32" i="3"/>
  <c r="E36"/>
  <c r="C77"/>
  <c r="E35"/>
  <c r="G86" i="7"/>
  <c r="G90"/>
  <c r="E87"/>
  <c r="AB9" i="4"/>
  <c r="O33" i="8"/>
  <c r="O34" s="1"/>
  <c r="O130" s="1"/>
  <c r="O74" i="3"/>
  <c r="L93" i="8"/>
  <c r="K91"/>
  <c r="K83" s="1"/>
  <c r="P33"/>
  <c r="P27" s="1"/>
  <c r="P26" s="1"/>
  <c r="AC9" i="4"/>
  <c r="O128" i="3"/>
  <c r="K10" i="23"/>
  <c r="O126" i="3"/>
  <c r="O136"/>
  <c r="O25" i="5"/>
  <c r="O41" s="1"/>
  <c r="L72" i="8"/>
  <c r="E11" i="46"/>
  <c r="D11"/>
  <c r="F11" s="1"/>
  <c r="I75" i="3"/>
  <c r="I88"/>
  <c r="I76" s="1"/>
  <c r="P95"/>
  <c r="P11"/>
  <c r="P86" s="1"/>
  <c r="E14" i="5"/>
  <c r="G14"/>
  <c r="M11" i="23"/>
  <c r="M15" s="1"/>
  <c r="M16"/>
  <c r="M17" s="1"/>
  <c r="M20" s="1"/>
  <c r="L95" i="3"/>
  <c r="L11"/>
  <c r="L86" s="1"/>
  <c r="S95"/>
  <c r="S11"/>
  <c r="S86" s="1"/>
  <c r="O9" i="23"/>
  <c r="AG80" i="4"/>
  <c r="E33" i="22"/>
  <c r="L33"/>
  <c r="E37"/>
  <c r="L37"/>
  <c r="C42"/>
  <c r="L42" s="1"/>
  <c r="L43"/>
  <c r="E43"/>
  <c r="S9" i="4"/>
  <c r="S59" s="1"/>
  <c r="S80" s="1"/>
  <c r="F35" i="8"/>
  <c r="F34" s="1"/>
  <c r="D94"/>
  <c r="D91" s="1"/>
  <c r="D83" s="1"/>
  <c r="D114" s="1"/>
  <c r="Q9" i="4"/>
  <c r="Q59" s="1"/>
  <c r="Q80" s="1"/>
  <c r="D35" i="8"/>
  <c r="D34" s="1"/>
  <c r="D130" s="1"/>
  <c r="M9" i="5"/>
  <c r="L132" i="3"/>
  <c r="L59" i="5"/>
  <c r="L21"/>
  <c r="K110" i="8"/>
  <c r="K109" s="1"/>
  <c r="K108" s="1"/>
  <c r="K22" s="1"/>
  <c r="K108" i="10"/>
  <c r="I31" i="1"/>
  <c r="F31"/>
  <c r="C21" i="8"/>
  <c r="C45"/>
  <c r="C119" s="1"/>
  <c r="C118" s="1"/>
  <c r="C142" s="1"/>
  <c r="C145" s="1"/>
  <c r="C144" s="1"/>
  <c r="C156" s="1"/>
  <c r="C159" s="1"/>
  <c r="C158" s="1"/>
  <c r="C161" s="1"/>
  <c r="C162" s="1"/>
  <c r="H45"/>
  <c r="H119" s="1"/>
  <c r="H118" s="1"/>
  <c r="H142" s="1"/>
  <c r="H145" s="1"/>
  <c r="H144" s="1"/>
  <c r="H156" s="1"/>
  <c r="H159" s="1"/>
  <c r="H158" s="1"/>
  <c r="H161" s="1"/>
  <c r="H162" s="1"/>
  <c r="H21"/>
  <c r="E58" i="11"/>
  <c r="C58"/>
  <c r="F60" i="7"/>
  <c r="E63"/>
  <c r="G60"/>
  <c r="F127"/>
  <c r="I114" i="8"/>
  <c r="I115" s="1"/>
  <c r="I146" s="1"/>
  <c r="I21"/>
  <c r="G129" i="7"/>
  <c r="C127"/>
  <c r="G127" s="1"/>
  <c r="D104"/>
  <c r="F104" s="1"/>
  <c r="F105"/>
  <c r="F74"/>
  <c r="G74"/>
  <c r="F72"/>
  <c r="G72"/>
  <c r="E77"/>
  <c r="H127" i="3"/>
  <c r="H129"/>
  <c r="M48" i="4"/>
  <c r="I78" i="1"/>
  <c r="F78"/>
  <c r="E57"/>
  <c r="D40" i="46"/>
  <c r="F40" s="1"/>
  <c r="B35"/>
  <c r="E40"/>
  <c r="I42" i="1"/>
  <c r="M21" i="4"/>
  <c r="F42" i="1"/>
  <c r="Q123" i="3"/>
  <c r="K130"/>
  <c r="G93"/>
  <c r="G63"/>
  <c r="G96" s="1"/>
  <c r="G67" i="7"/>
  <c r="C70"/>
  <c r="G70" s="1"/>
  <c r="D59" i="4"/>
  <c r="I59"/>
  <c r="O47" i="2"/>
  <c r="D46"/>
  <c r="K11" i="3"/>
  <c r="K86" s="1"/>
  <c r="K95"/>
  <c r="E13" i="5"/>
  <c r="E10" s="1"/>
  <c r="D10"/>
  <c r="L25" i="2"/>
  <c r="N25"/>
  <c r="C125" i="3"/>
  <c r="N59" i="4"/>
  <c r="E180" i="7"/>
  <c r="E179" s="1"/>
  <c r="G37"/>
  <c r="H10" i="23"/>
  <c r="L126" i="3"/>
  <c r="L128"/>
  <c r="C50" i="1"/>
  <c r="L28" i="4"/>
  <c r="L57" i="1"/>
  <c r="N95" i="3"/>
  <c r="N11"/>
  <c r="N86" s="1"/>
  <c r="S71" i="10"/>
  <c r="S56" s="1"/>
  <c r="R60" i="3"/>
  <c r="R59" s="1"/>
  <c r="R62" s="1"/>
  <c r="Q11"/>
  <c r="Q86" s="1"/>
  <c r="Q95"/>
  <c r="Q71" i="10"/>
  <c r="Q56" s="1"/>
  <c r="P60" i="3"/>
  <c r="P59" s="1"/>
  <c r="P62" s="1"/>
  <c r="D45" i="46"/>
  <c r="F45" s="1"/>
  <c r="E45"/>
  <c r="I55" i="10"/>
  <c r="I13" s="1"/>
  <c r="H48" i="3"/>
  <c r="M126"/>
  <c r="M128"/>
  <c r="I10" i="23"/>
  <c r="O56" i="10"/>
  <c r="J10" i="23"/>
  <c r="N126" i="3"/>
  <c r="N128"/>
  <c r="M33" i="8"/>
  <c r="Z9" i="4"/>
  <c r="E20" i="5"/>
  <c r="G20"/>
  <c r="U95" i="3"/>
  <c r="U11"/>
  <c r="U86" s="1"/>
  <c r="D74" i="2"/>
  <c r="O74" s="1"/>
  <c r="O75"/>
  <c r="G29" i="7"/>
  <c r="M74" i="3"/>
  <c r="P11" i="23"/>
  <c r="P15" s="1"/>
  <c r="P16"/>
  <c r="P17" s="1"/>
  <c r="P20" s="1"/>
  <c r="G39" i="7"/>
  <c r="C38"/>
  <c r="R11" i="3"/>
  <c r="R86" s="1"/>
  <c r="R95"/>
  <c r="T95"/>
  <c r="T11"/>
  <c r="T86" s="1"/>
  <c r="V95"/>
  <c r="V11"/>
  <c r="V86" s="1"/>
  <c r="N154"/>
  <c r="I78"/>
  <c r="I72" s="1"/>
  <c r="I91"/>
  <c r="I71"/>
  <c r="I154"/>
  <c r="I156"/>
  <c r="N9" i="23"/>
  <c r="AF80" i="4"/>
  <c r="Q9" i="23"/>
  <c r="AI80" i="4"/>
  <c r="D26" i="8"/>
  <c r="D115"/>
  <c r="D146" s="1"/>
  <c r="Q26"/>
  <c r="G91" i="7"/>
  <c r="P34" i="8"/>
  <c r="P130" s="1"/>
  <c r="E25" i="4"/>
  <c r="D37" i="7" s="1"/>
  <c r="D180" s="1"/>
  <c r="D179" s="1"/>
  <c r="O27" i="8"/>
  <c r="M34"/>
  <c r="M130" s="1"/>
  <c r="N26"/>
  <c r="M27"/>
  <c r="M26" s="1"/>
  <c r="P127" i="3"/>
  <c r="G35" i="7"/>
  <c r="T127" i="3"/>
  <c r="U127"/>
  <c r="U129"/>
  <c r="M113" i="1"/>
  <c r="M111" s="1"/>
  <c r="M87" s="1"/>
  <c r="M27" s="1"/>
  <c r="M61" i="22"/>
  <c r="M57" s="1"/>
  <c r="M50" s="1"/>
  <c r="M28" s="1"/>
  <c r="M90"/>
  <c r="M101"/>
  <c r="M100" s="1"/>
  <c r="M99" s="1"/>
  <c r="M113"/>
  <c r="M111" s="1"/>
  <c r="P83" i="2"/>
  <c r="P75" s="1"/>
  <c r="P74" s="1"/>
  <c r="P90"/>
  <c r="P149"/>
  <c r="P127" s="1"/>
  <c r="G146" i="7"/>
  <c r="J162" i="8"/>
  <c r="E29" i="1"/>
  <c r="D92" i="7"/>
  <c r="F92" s="1"/>
  <c r="E34" i="3"/>
  <c r="C129"/>
  <c r="P56" i="10"/>
  <c r="G21" i="8"/>
  <c r="AA9" i="4"/>
  <c r="L109" i="10"/>
  <c r="I127" i="3"/>
  <c r="M84" i="8"/>
  <c r="C127" i="3"/>
  <c r="P129"/>
  <c r="R127"/>
  <c r="AE80" i="4"/>
  <c r="Q127" i="3"/>
  <c r="T129"/>
  <c r="R17" i="23"/>
  <c r="R20" s="1"/>
  <c r="M87" i="22" l="1"/>
  <c r="P45" i="8"/>
  <c r="P119" s="1"/>
  <c r="P118" s="1"/>
  <c r="P142" s="1"/>
  <c r="P145" s="1"/>
  <c r="P144" s="1"/>
  <c r="P156" s="1"/>
  <c r="P159" s="1"/>
  <c r="P158" s="1"/>
  <c r="P161" s="1"/>
  <c r="M27" i="22"/>
  <c r="M125" i="3"/>
  <c r="AA59" i="4"/>
  <c r="F29" i="1"/>
  <c r="I29"/>
  <c r="M10" i="4"/>
  <c r="D86" i="7"/>
  <c r="F86" s="1"/>
  <c r="N45" i="8"/>
  <c r="N119" s="1"/>
  <c r="N118" s="1"/>
  <c r="N142" s="1"/>
  <c r="N145" s="1"/>
  <c r="N144" s="1"/>
  <c r="N156" s="1"/>
  <c r="N159" s="1"/>
  <c r="N158" s="1"/>
  <c r="N161" s="1"/>
  <c r="N162" s="1"/>
  <c r="Q45"/>
  <c r="Q119" s="1"/>
  <c r="Q118" s="1"/>
  <c r="Q142" s="1"/>
  <c r="Q145" s="1"/>
  <c r="Q144" s="1"/>
  <c r="Q156" s="1"/>
  <c r="Q159" s="1"/>
  <c r="Q158" s="1"/>
  <c r="Q161" s="1"/>
  <c r="Q162" s="1"/>
  <c r="V74" i="3"/>
  <c r="T74"/>
  <c r="G38" i="7"/>
  <c r="C22"/>
  <c r="Q74" i="3"/>
  <c r="E126" i="7"/>
  <c r="E36"/>
  <c r="D44" i="5"/>
  <c r="D67" s="1"/>
  <c r="D65" i="11" s="1"/>
  <c r="D60" i="5"/>
  <c r="D22"/>
  <c r="K73" i="4"/>
  <c r="O46" i="2"/>
  <c r="D26"/>
  <c r="D35" i="46"/>
  <c r="F35" s="1"/>
  <c r="E35"/>
  <c r="F57" i="1"/>
  <c r="M28" i="4"/>
  <c r="I57" i="1"/>
  <c r="E50"/>
  <c r="G77" i="7"/>
  <c r="F77"/>
  <c r="F63"/>
  <c r="G63"/>
  <c r="K55" i="10"/>
  <c r="K13" s="1"/>
  <c r="J48" i="3"/>
  <c r="F33" i="22"/>
  <c r="I33"/>
  <c r="O16" i="23"/>
  <c r="O11"/>
  <c r="O15" s="1"/>
  <c r="S74" i="3"/>
  <c r="P74"/>
  <c r="O138"/>
  <c r="O63" i="5"/>
  <c r="P26"/>
  <c r="O145" i="3"/>
  <c r="O125"/>
  <c r="AC59" i="4"/>
  <c r="K114" i="8"/>
  <c r="K115" s="1"/>
  <c r="K146" s="1"/>
  <c r="K21"/>
  <c r="C91" i="3"/>
  <c r="C8" i="13" s="1"/>
  <c r="C78" i="3"/>
  <c r="C72" s="1"/>
  <c r="C71"/>
  <c r="L9" i="23"/>
  <c r="AD80" i="4"/>
  <c r="C47" i="7"/>
  <c r="C115" s="1"/>
  <c r="C114" s="1"/>
  <c r="C138" s="1"/>
  <c r="C141" s="1"/>
  <c r="C140" s="1"/>
  <c r="C152" s="1"/>
  <c r="C155" s="1"/>
  <c r="C154" s="1"/>
  <c r="C157" s="1"/>
  <c r="C158" s="1"/>
  <c r="F80"/>
  <c r="D11" i="23"/>
  <c r="D15" s="1"/>
  <c r="D16"/>
  <c r="D17" s="1"/>
  <c r="D20" s="1"/>
  <c r="M110" i="8"/>
  <c r="M109" s="1"/>
  <c r="M108" s="1"/>
  <c r="M22" s="1"/>
  <c r="M108" i="10"/>
  <c r="F54" i="1"/>
  <c r="I54"/>
  <c r="C9" i="23"/>
  <c r="C11" s="1"/>
  <c r="C15" s="1"/>
  <c r="C17" s="1"/>
  <c r="C20" s="1"/>
  <c r="U80" i="4"/>
  <c r="F35" i="22"/>
  <c r="I35"/>
  <c r="P162" i="8"/>
  <c r="M129" i="3"/>
  <c r="M127"/>
  <c r="F37" i="7"/>
  <c r="C29" i="22"/>
  <c r="O127" i="3"/>
  <c r="P25" i="2"/>
  <c r="D22" i="7"/>
  <c r="L110" i="8"/>
  <c r="L109" s="1"/>
  <c r="L108" s="1"/>
  <c r="L22" s="1"/>
  <c r="L108" i="10"/>
  <c r="M45" i="8"/>
  <c r="M119" s="1"/>
  <c r="M118" s="1"/>
  <c r="M142" s="1"/>
  <c r="M145" s="1"/>
  <c r="M144" s="1"/>
  <c r="M156" s="1"/>
  <c r="M159" s="1"/>
  <c r="M158" s="1"/>
  <c r="M161" s="1"/>
  <c r="D36" i="7"/>
  <c r="D126"/>
  <c r="D21" i="8"/>
  <c r="D45"/>
  <c r="D119" s="1"/>
  <c r="D118" s="1"/>
  <c r="D142" s="1"/>
  <c r="D145" s="1"/>
  <c r="D144" s="1"/>
  <c r="D156" s="1"/>
  <c r="D159" s="1"/>
  <c r="D158" s="1"/>
  <c r="D161" s="1"/>
  <c r="D162" s="1"/>
  <c r="Q16" i="23"/>
  <c r="Q17" s="1"/>
  <c r="Q20" s="1"/>
  <c r="Q11"/>
  <c r="Q15" s="1"/>
  <c r="N16"/>
  <c r="N17" s="1"/>
  <c r="N20" s="1"/>
  <c r="N11"/>
  <c r="N15" s="1"/>
  <c r="R74" i="3"/>
  <c r="U74"/>
  <c r="H20" i="5"/>
  <c r="G16"/>
  <c r="G61" s="1"/>
  <c r="G134" i="3" s="1"/>
  <c r="L125"/>
  <c r="L129" s="1"/>
  <c r="Z59" i="4"/>
  <c r="H32" i="3"/>
  <c r="H77"/>
  <c r="N74"/>
  <c r="C90" i="7"/>
  <c r="C87" s="1"/>
  <c r="C79" s="1"/>
  <c r="C110" s="1"/>
  <c r="C111" s="1"/>
  <c r="C142" s="1"/>
  <c r="C28" i="1"/>
  <c r="L25" i="4"/>
  <c r="L50" i="1"/>
  <c r="K59" i="4"/>
  <c r="F59" s="1"/>
  <c r="E44" i="5"/>
  <c r="E67" s="1"/>
  <c r="E65" i="11" s="1"/>
  <c r="E22" i="5"/>
  <c r="E60"/>
  <c r="E59" i="11" s="1"/>
  <c r="K74" i="3"/>
  <c r="L130"/>
  <c r="R123"/>
  <c r="M132"/>
  <c r="N9" i="5"/>
  <c r="M21"/>
  <c r="M59"/>
  <c r="F130" i="8"/>
  <c r="F26"/>
  <c r="E42" i="22"/>
  <c r="I43"/>
  <c r="F43"/>
  <c r="F37"/>
  <c r="I37"/>
  <c r="L74" i="3"/>
  <c r="G10" i="5"/>
  <c r="H14"/>
  <c r="M93" i="8"/>
  <c r="L91"/>
  <c r="L83" s="1"/>
  <c r="N125" i="3"/>
  <c r="N129" s="1"/>
  <c r="AB59" i="4"/>
  <c r="G87" i="7"/>
  <c r="E79"/>
  <c r="C92" i="3"/>
  <c r="C31"/>
  <c r="C87" s="1"/>
  <c r="C50"/>
  <c r="D35" i="7"/>
  <c r="E9" i="4"/>
  <c r="M59" s="1"/>
  <c r="J74" i="3"/>
  <c r="E9" i="23"/>
  <c r="W80" i="4"/>
  <c r="O111" i="10"/>
  <c r="N109"/>
  <c r="E130" i="8"/>
  <c r="E26"/>
  <c r="G129" i="3"/>
  <c r="G127"/>
  <c r="I39" i="22"/>
  <c r="F39"/>
  <c r="M162" i="8"/>
  <c r="O26"/>
  <c r="N127" i="3"/>
  <c r="L127"/>
  <c r="B10" i="46"/>
  <c r="O129" i="3"/>
  <c r="E29" i="22"/>
  <c r="D5" i="11" l="1"/>
  <c r="F80" i="4"/>
  <c r="O45" i="8"/>
  <c r="O119" s="1"/>
  <c r="O118" s="1"/>
  <c r="O142" s="1"/>
  <c r="O145" s="1"/>
  <c r="O144" s="1"/>
  <c r="O156" s="1"/>
  <c r="O159" s="1"/>
  <c r="O158" s="1"/>
  <c r="O161" s="1"/>
  <c r="O162" s="1"/>
  <c r="E11" i="23"/>
  <c r="E15" s="1"/>
  <c r="E16"/>
  <c r="D29" i="7"/>
  <c r="D187"/>
  <c r="F35"/>
  <c r="E46" i="3"/>
  <c r="C75"/>
  <c r="E59"/>
  <c r="C88"/>
  <c r="C76" s="1"/>
  <c r="E48"/>
  <c r="E68"/>
  <c r="E49"/>
  <c r="E33"/>
  <c r="G79" i="7"/>
  <c r="E110"/>
  <c r="J9" i="23"/>
  <c r="AB80" i="4"/>
  <c r="L114" i="8"/>
  <c r="L115" s="1"/>
  <c r="L146" s="1"/>
  <c r="L21"/>
  <c r="H10" i="5"/>
  <c r="I14"/>
  <c r="F42" i="22"/>
  <c r="I42"/>
  <c r="E62" i="5"/>
  <c r="E61" i="11" s="1"/>
  <c r="E43" i="5"/>
  <c r="L28" i="1"/>
  <c r="L9" i="4"/>
  <c r="C27" i="1"/>
  <c r="L27" s="1"/>
  <c r="H71" i="3"/>
  <c r="H78"/>
  <c r="H72" s="1"/>
  <c r="H154"/>
  <c r="M154"/>
  <c r="H91"/>
  <c r="H156"/>
  <c r="H9" i="23"/>
  <c r="Z80" i="4"/>
  <c r="L55" i="10"/>
  <c r="L13" s="1"/>
  <c r="K48" i="3"/>
  <c r="L29" i="22"/>
  <c r="C28"/>
  <c r="L48" i="3"/>
  <c r="M55" i="10"/>
  <c r="M13" s="1"/>
  <c r="P136" i="3"/>
  <c r="P25" i="5"/>
  <c r="P41" s="1"/>
  <c r="J32" i="3"/>
  <c r="J77"/>
  <c r="D43" i="5"/>
  <c r="D62"/>
  <c r="D61" i="11" s="1"/>
  <c r="G126" i="7"/>
  <c r="F126"/>
  <c r="I9" i="23"/>
  <c r="AA80" i="4"/>
  <c r="F162" i="8"/>
  <c r="P111" i="10"/>
  <c r="O109"/>
  <c r="I29" i="22"/>
  <c r="F29"/>
  <c r="E28"/>
  <c r="D10" i="46"/>
  <c r="F10" s="1"/>
  <c r="E10"/>
  <c r="E45" i="8"/>
  <c r="E119" s="1"/>
  <c r="E118" s="1"/>
  <c r="E142" s="1"/>
  <c r="E145" s="1"/>
  <c r="E144" s="1"/>
  <c r="E156" s="1"/>
  <c r="E159" s="1"/>
  <c r="E158" s="1"/>
  <c r="E161" s="1"/>
  <c r="E162" s="1"/>
  <c r="E21"/>
  <c r="N108" i="10"/>
  <c r="N110" i="8"/>
  <c r="N109" s="1"/>
  <c r="N108" s="1"/>
  <c r="N22" s="1"/>
  <c r="J59" i="4"/>
  <c r="E59" s="1"/>
  <c r="E80" s="1"/>
  <c r="C93" i="3"/>
  <c r="B8" i="13" s="1"/>
  <c r="C63" i="3"/>
  <c r="C96" s="1"/>
  <c r="N93" i="8"/>
  <c r="M91"/>
  <c r="M83" s="1"/>
  <c r="G60" i="5"/>
  <c r="G133" i="3" s="1"/>
  <c r="G44" i="5"/>
  <c r="G67" s="1"/>
  <c r="G22"/>
  <c r="F21" i="8"/>
  <c r="F45"/>
  <c r="F119" s="1"/>
  <c r="F118" s="1"/>
  <c r="F142" s="1"/>
  <c r="F145" s="1"/>
  <c r="F144" s="1"/>
  <c r="F156" s="1"/>
  <c r="F159" s="1"/>
  <c r="F158" s="1"/>
  <c r="F161" s="1"/>
  <c r="O9" i="5"/>
  <c r="N132" i="3"/>
  <c r="N59" i="5"/>
  <c r="N21"/>
  <c r="M130" i="3"/>
  <c r="S123"/>
  <c r="H31"/>
  <c r="H87" s="1"/>
  <c r="H92"/>
  <c r="H50"/>
  <c r="H16" i="5"/>
  <c r="H61" s="1"/>
  <c r="H134" i="3" s="1"/>
  <c r="I20" i="5"/>
  <c r="L16" i="23"/>
  <c r="L11"/>
  <c r="L15" s="1"/>
  <c r="K9"/>
  <c r="AC80" i="4"/>
  <c r="M25"/>
  <c r="F50" i="1"/>
  <c r="D90" i="7"/>
  <c r="I50" i="1"/>
  <c r="O26" i="2"/>
  <c r="D25"/>
  <c r="O25" s="1"/>
  <c r="D73" i="4"/>
  <c r="K70"/>
  <c r="D59" i="11"/>
  <c r="C133" i="3"/>
  <c r="F36" i="7"/>
  <c r="G36"/>
  <c r="E28"/>
  <c r="E32" i="3"/>
  <c r="C23" i="7"/>
  <c r="O17" i="23"/>
  <c r="O20" s="1"/>
  <c r="E28" i="1"/>
  <c r="F28" l="1"/>
  <c r="I28"/>
  <c r="M9" i="4"/>
  <c r="E27" i="1"/>
  <c r="C148" i="3"/>
  <c r="C151" s="1"/>
  <c r="C135"/>
  <c r="C147" s="1"/>
  <c r="O132"/>
  <c r="P9" i="5"/>
  <c r="O59"/>
  <c r="O21"/>
  <c r="E23" i="7"/>
  <c r="E47"/>
  <c r="G28"/>
  <c r="C41"/>
  <c r="G41" s="1"/>
  <c r="D70" i="4"/>
  <c r="D80" s="1"/>
  <c r="D87" i="7"/>
  <c r="F90"/>
  <c r="K11" i="23"/>
  <c r="K15" s="1"/>
  <c r="K16"/>
  <c r="K17" s="1"/>
  <c r="K20" s="1"/>
  <c r="N130" i="3"/>
  <c r="T123"/>
  <c r="G43" i="5"/>
  <c r="G62"/>
  <c r="G148" i="3"/>
  <c r="G151" s="1"/>
  <c r="G135"/>
  <c r="G147" s="1"/>
  <c r="O93" i="8"/>
  <c r="N91"/>
  <c r="N83" s="1"/>
  <c r="M48" i="3"/>
  <c r="N55" i="10"/>
  <c r="N13" s="1"/>
  <c r="O110" i="8"/>
  <c r="O109" s="1"/>
  <c r="O108" s="1"/>
  <c r="O22" s="1"/>
  <c r="O108" i="10"/>
  <c r="I16" i="23"/>
  <c r="I17" s="1"/>
  <c r="I20" s="1"/>
  <c r="I11"/>
  <c r="I15" s="1"/>
  <c r="J156" i="3"/>
  <c r="J78"/>
  <c r="J72" s="1"/>
  <c r="J91"/>
  <c r="J71"/>
  <c r="O154"/>
  <c r="J154"/>
  <c r="P63" i="5"/>
  <c r="P145" i="3"/>
  <c r="P138"/>
  <c r="Q26" i="5"/>
  <c r="C27" i="22"/>
  <c r="L27" s="1"/>
  <c r="L28"/>
  <c r="K32" i="3"/>
  <c r="K77"/>
  <c r="H60" i="5"/>
  <c r="H133" i="3" s="1"/>
  <c r="H44" i="5"/>
  <c r="H67" s="1"/>
  <c r="H22"/>
  <c r="J16" i="23"/>
  <c r="J17" s="1"/>
  <c r="J20" s="1"/>
  <c r="J11"/>
  <c r="J15" s="1"/>
  <c r="G110" i="7"/>
  <c r="E111"/>
  <c r="D28"/>
  <c r="F29"/>
  <c r="D48" i="11"/>
  <c r="D49" s="1"/>
  <c r="B28"/>
  <c r="K108"/>
  <c r="D77"/>
  <c r="D78" s="1"/>
  <c r="D80" s="1"/>
  <c r="B38"/>
  <c r="D7"/>
  <c r="D9" s="1"/>
  <c r="L17" i="23"/>
  <c r="L20" s="1"/>
  <c r="J20" i="5"/>
  <c r="I16"/>
  <c r="I61" s="1"/>
  <c r="I134" i="3" s="1"/>
  <c r="H63"/>
  <c r="H96" s="1"/>
  <c r="H93"/>
  <c r="H75"/>
  <c r="H88"/>
  <c r="H76" s="1"/>
  <c r="M114" i="8"/>
  <c r="M115" s="1"/>
  <c r="M146" s="1"/>
  <c r="M21"/>
  <c r="I28" i="22"/>
  <c r="F28"/>
  <c r="E27"/>
  <c r="Q111" i="10"/>
  <c r="P109"/>
  <c r="D66" i="5"/>
  <c r="D45"/>
  <c r="J31" i="3"/>
  <c r="J87" s="1"/>
  <c r="J92"/>
  <c r="J50"/>
  <c r="L32"/>
  <c r="L77"/>
  <c r="H11" i="23"/>
  <c r="H15" s="1"/>
  <c r="H16"/>
  <c r="H17" s="1"/>
  <c r="H20" s="1"/>
  <c r="E66" i="5"/>
  <c r="E45"/>
  <c r="J14"/>
  <c r="I10"/>
  <c r="E17" i="23"/>
  <c r="E20" s="1"/>
  <c r="I60" i="5" l="1"/>
  <c r="I133" i="3" s="1"/>
  <c r="I44" i="5"/>
  <c r="I67" s="1"/>
  <c r="I22"/>
  <c r="J10"/>
  <c r="K14"/>
  <c r="E68"/>
  <c r="E66" i="11" s="1"/>
  <c r="E69" i="5"/>
  <c r="E67" i="11" s="1"/>
  <c r="E64"/>
  <c r="L31" i="3"/>
  <c r="L87" s="1"/>
  <c r="L92"/>
  <c r="L50"/>
  <c r="P110" i="8"/>
  <c r="P109" s="1"/>
  <c r="P108" s="1"/>
  <c r="P22" s="1"/>
  <c r="P108" i="10"/>
  <c r="F27" i="22"/>
  <c r="I27"/>
  <c r="K20" i="5"/>
  <c r="J16"/>
  <c r="J61" s="1"/>
  <c r="J134" i="3" s="1"/>
  <c r="E142" i="7"/>
  <c r="G111"/>
  <c r="P154" i="3"/>
  <c r="K91"/>
  <c r="K71"/>
  <c r="K154"/>
  <c r="K156"/>
  <c r="K78"/>
  <c r="K72" s="1"/>
  <c r="Q25" i="5"/>
  <c r="Q41" s="1"/>
  <c r="Q136" i="3"/>
  <c r="M32"/>
  <c r="M77"/>
  <c r="O91" i="8"/>
  <c r="O83" s="1"/>
  <c r="P93"/>
  <c r="G66" i="5"/>
  <c r="G45"/>
  <c r="F87" i="7"/>
  <c r="D79"/>
  <c r="D23" s="1"/>
  <c r="L154" i="3"/>
  <c r="L78"/>
  <c r="L72" s="1"/>
  <c r="L91"/>
  <c r="L156"/>
  <c r="Q154"/>
  <c r="L71"/>
  <c r="J63"/>
  <c r="J96" s="1"/>
  <c r="J93"/>
  <c r="J75"/>
  <c r="J88"/>
  <c r="J76" s="1"/>
  <c r="D69" i="5"/>
  <c r="D67" i="11" s="1"/>
  <c r="D68" i="5"/>
  <c r="D66" i="11" s="1"/>
  <c r="D64"/>
  <c r="R111" i="10"/>
  <c r="Q109"/>
  <c r="Q108" s="1"/>
  <c r="D47" i="7"/>
  <c r="D115" s="1"/>
  <c r="D114" s="1"/>
  <c r="D138" s="1"/>
  <c r="D141" s="1"/>
  <c r="D140" s="1"/>
  <c r="D152" s="1"/>
  <c r="D155" s="1"/>
  <c r="D154" s="1"/>
  <c r="D157" s="1"/>
  <c r="D158" s="1"/>
  <c r="H62" i="5"/>
  <c r="H43"/>
  <c r="H148" i="3"/>
  <c r="H151" s="1"/>
  <c r="H135"/>
  <c r="H147" s="1"/>
  <c r="K92"/>
  <c r="K31"/>
  <c r="K87" s="1"/>
  <c r="K50"/>
  <c r="N48"/>
  <c r="O55" i="10"/>
  <c r="O13" s="1"/>
  <c r="N114" i="8"/>
  <c r="N115" s="1"/>
  <c r="N146" s="1"/>
  <c r="N21"/>
  <c r="G152" i="3"/>
  <c r="G150"/>
  <c r="E115" i="7"/>
  <c r="F47"/>
  <c r="G47"/>
  <c r="Q9" i="5"/>
  <c r="P132" i="3"/>
  <c r="P59" i="5"/>
  <c r="P21"/>
  <c r="C150" i="3"/>
  <c r="C152"/>
  <c r="I27" i="1"/>
  <c r="F27"/>
  <c r="F28" i="7"/>
  <c r="F115" l="1"/>
  <c r="E114"/>
  <c r="G115"/>
  <c r="N32" i="3"/>
  <c r="N77"/>
  <c r="K75"/>
  <c r="K88"/>
  <c r="K76" s="1"/>
  <c r="H150"/>
  <c r="H152"/>
  <c r="H66" i="5"/>
  <c r="H45"/>
  <c r="P48" i="3"/>
  <c r="Q55" i="10"/>
  <c r="Q13" s="1"/>
  <c r="G68" i="5"/>
  <c r="G69"/>
  <c r="O114" i="8"/>
  <c r="O115" s="1"/>
  <c r="O146" s="1"/>
  <c r="O21"/>
  <c r="M31" i="3"/>
  <c r="M87" s="1"/>
  <c r="M92"/>
  <c r="M50"/>
  <c r="Q63" i="5"/>
  <c r="Q138" i="3"/>
  <c r="Q145"/>
  <c r="R26" i="5"/>
  <c r="O48" i="3"/>
  <c r="P55" i="10"/>
  <c r="P13" s="1"/>
  <c r="L63" i="3"/>
  <c r="L96" s="1"/>
  <c r="L93"/>
  <c r="L75"/>
  <c r="L88"/>
  <c r="L76" s="1"/>
  <c r="L14" i="5"/>
  <c r="K10"/>
  <c r="I43"/>
  <c r="I62"/>
  <c r="I148" i="3"/>
  <c r="I151" s="1"/>
  <c r="I135"/>
  <c r="I147" s="1"/>
  <c r="R9" i="5"/>
  <c r="Q132" i="3"/>
  <c r="Q59" i="5"/>
  <c r="Q21"/>
  <c r="K63" i="3"/>
  <c r="K96" s="1"/>
  <c r="K93"/>
  <c r="S111" i="10"/>
  <c r="R109"/>
  <c r="R108" s="1"/>
  <c r="D110" i="7"/>
  <c r="F79"/>
  <c r="Q93" i="8"/>
  <c r="Q91" s="1"/>
  <c r="Q83" s="1"/>
  <c r="P91"/>
  <c r="P83" s="1"/>
  <c r="M91" i="3"/>
  <c r="M71"/>
  <c r="G142" i="7"/>
  <c r="L20" i="5"/>
  <c r="K16"/>
  <c r="K61" s="1"/>
  <c r="K134" i="3" s="1"/>
  <c r="J60" i="5"/>
  <c r="J133" i="3" s="1"/>
  <c r="J44" i="5"/>
  <c r="J67" s="1"/>
  <c r="J22"/>
  <c r="P114" i="8" l="1"/>
  <c r="P115" s="1"/>
  <c r="P146" s="1"/>
  <c r="P21"/>
  <c r="Q48" i="3"/>
  <c r="R55" i="10"/>
  <c r="R13" s="1"/>
  <c r="I152" i="3"/>
  <c r="I150"/>
  <c r="K44" i="5"/>
  <c r="K67" s="1"/>
  <c r="K60"/>
  <c r="K133" i="3" s="1"/>
  <c r="K22" i="5"/>
  <c r="N71" i="3"/>
  <c r="N91"/>
  <c r="J43" i="5"/>
  <c r="J62"/>
  <c r="J148" i="3"/>
  <c r="J151" s="1"/>
  <c r="J135"/>
  <c r="J147" s="1"/>
  <c r="M20" i="5"/>
  <c r="L16"/>
  <c r="L61" s="1"/>
  <c r="L134" i="3" s="1"/>
  <c r="Q114" i="8"/>
  <c r="Q115" s="1"/>
  <c r="Q146" s="1"/>
  <c r="Q21"/>
  <c r="D111" i="7"/>
  <c r="F110"/>
  <c r="T111" i="10"/>
  <c r="S109"/>
  <c r="S108" s="1"/>
  <c r="S9" i="5"/>
  <c r="R132" i="3"/>
  <c r="R59" i="5"/>
  <c r="R21"/>
  <c r="I45"/>
  <c r="I66"/>
  <c r="M14"/>
  <c r="L10"/>
  <c r="O32" i="3"/>
  <c r="O77"/>
  <c r="R136"/>
  <c r="R25" i="5"/>
  <c r="R41" s="1"/>
  <c r="M63" i="3"/>
  <c r="M96" s="1"/>
  <c r="M93"/>
  <c r="M75"/>
  <c r="M88"/>
  <c r="M76" s="1"/>
  <c r="P32"/>
  <c r="P77"/>
  <c r="H69" i="5"/>
  <c r="H68"/>
  <c r="N31" i="3"/>
  <c r="N87" s="1"/>
  <c r="N92"/>
  <c r="N50"/>
  <c r="E138" i="7"/>
  <c r="F114"/>
  <c r="G114"/>
  <c r="R63" i="5" l="1"/>
  <c r="S26"/>
  <c r="R145" i="3"/>
  <c r="R138"/>
  <c r="O91"/>
  <c r="O71"/>
  <c r="L60" i="5"/>
  <c r="L133" i="3" s="1"/>
  <c r="L44" i="5"/>
  <c r="L67" s="1"/>
  <c r="L22"/>
  <c r="I68"/>
  <c r="I69"/>
  <c r="N63" i="3"/>
  <c r="N96" s="1"/>
  <c r="N93"/>
  <c r="N75"/>
  <c r="N88"/>
  <c r="N76" s="1"/>
  <c r="P92"/>
  <c r="P31"/>
  <c r="P87" s="1"/>
  <c r="P50"/>
  <c r="O92"/>
  <c r="O31"/>
  <c r="O87" s="1"/>
  <c r="O50"/>
  <c r="N14" i="5"/>
  <c r="M10"/>
  <c r="T9"/>
  <c r="S59"/>
  <c r="S132" i="3"/>
  <c r="S21" i="5"/>
  <c r="U111" i="10"/>
  <c r="T109"/>
  <c r="T108" s="1"/>
  <c r="D142" i="7"/>
  <c r="F142" s="1"/>
  <c r="F111"/>
  <c r="M16" i="5"/>
  <c r="M61" s="1"/>
  <c r="M134" i="3" s="1"/>
  <c r="N20" i="5"/>
  <c r="J66"/>
  <c r="J45"/>
  <c r="K43"/>
  <c r="K62"/>
  <c r="Q32" i="3"/>
  <c r="Q77"/>
  <c r="F138" i="7"/>
  <c r="E141"/>
  <c r="G138"/>
  <c r="P91" i="3"/>
  <c r="P71"/>
  <c r="R48"/>
  <c r="S55" i="10"/>
  <c r="S13" s="1"/>
  <c r="J150" i="3"/>
  <c r="J152"/>
  <c r="K148"/>
  <c r="K151" s="1"/>
  <c r="K135"/>
  <c r="K147" s="1"/>
  <c r="K150" l="1"/>
  <c r="K152"/>
  <c r="Q31"/>
  <c r="Q87" s="1"/>
  <c r="Q92"/>
  <c r="Q50"/>
  <c r="K45" i="5"/>
  <c r="K66"/>
  <c r="J68"/>
  <c r="J69"/>
  <c r="V111" i="10"/>
  <c r="U109"/>
  <c r="U108" s="1"/>
  <c r="U9" i="5"/>
  <c r="T132" i="3"/>
  <c r="T59" i="5"/>
  <c r="T21"/>
  <c r="O14"/>
  <c r="N10"/>
  <c r="O75" i="3"/>
  <c r="O88"/>
  <c r="O76" s="1"/>
  <c r="P63"/>
  <c r="P96" s="1"/>
  <c r="P93"/>
  <c r="R32"/>
  <c r="R77"/>
  <c r="F141" i="7"/>
  <c r="E140"/>
  <c r="G141"/>
  <c r="Q91" i="3"/>
  <c r="Q71"/>
  <c r="O20" i="5"/>
  <c r="N16"/>
  <c r="N61" s="1"/>
  <c r="N134" i="3" s="1"/>
  <c r="S48"/>
  <c r="T55" i="10"/>
  <c r="T13" s="1"/>
  <c r="M44" i="5"/>
  <c r="M67" s="1"/>
  <c r="M22"/>
  <c r="M60"/>
  <c r="M133" i="3" s="1"/>
  <c r="O63"/>
  <c r="O96" s="1"/>
  <c r="O93"/>
  <c r="P75"/>
  <c r="P88"/>
  <c r="P76" s="1"/>
  <c r="L43" i="5"/>
  <c r="L62"/>
  <c r="L148" i="3"/>
  <c r="L151" s="1"/>
  <c r="L135"/>
  <c r="L147" s="1"/>
  <c r="S25" i="5"/>
  <c r="S41" s="1"/>
  <c r="S136" i="3"/>
  <c r="M62" i="5" l="1"/>
  <c r="M43"/>
  <c r="T48" i="3"/>
  <c r="U55" i="10"/>
  <c r="U13" s="1"/>
  <c r="K69" i="5"/>
  <c r="K68"/>
  <c r="Q63" i="3"/>
  <c r="Q96" s="1"/>
  <c r="Q93"/>
  <c r="Q75"/>
  <c r="Q88"/>
  <c r="Q76" s="1"/>
  <c r="S138"/>
  <c r="T26" i="5"/>
  <c r="S145" i="3"/>
  <c r="S63" i="5"/>
  <c r="L66"/>
  <c r="L45"/>
  <c r="R31" i="3"/>
  <c r="R87" s="1"/>
  <c r="R92"/>
  <c r="R50"/>
  <c r="N60" i="5"/>
  <c r="N133" i="3" s="1"/>
  <c r="N44" i="5"/>
  <c r="N67" s="1"/>
  <c r="N22"/>
  <c r="L150" i="3"/>
  <c r="L152"/>
  <c r="M148"/>
  <c r="M151" s="1"/>
  <c r="M135"/>
  <c r="M147" s="1"/>
  <c r="S32"/>
  <c r="S77"/>
  <c r="P20" i="5"/>
  <c r="O16"/>
  <c r="O61" s="1"/>
  <c r="O134" i="3" s="1"/>
  <c r="E152" i="7"/>
  <c r="F140"/>
  <c r="G140"/>
  <c r="R91" i="3"/>
  <c r="R71"/>
  <c r="P14" i="5"/>
  <c r="O10"/>
  <c r="U59"/>
  <c r="V9"/>
  <c r="U132" i="3"/>
  <c r="U21" i="5"/>
  <c r="W111" i="10"/>
  <c r="W109" s="1"/>
  <c r="W108" s="1"/>
  <c r="V109"/>
  <c r="V108" s="1"/>
  <c r="V48" i="3" l="1"/>
  <c r="W55" i="10"/>
  <c r="W13" s="1"/>
  <c r="P10" i="5"/>
  <c r="Q14"/>
  <c r="S91" i="3"/>
  <c r="S71"/>
  <c r="M150"/>
  <c r="M152"/>
  <c r="N62" i="5"/>
  <c r="N43"/>
  <c r="N135" i="3"/>
  <c r="N147" s="1"/>
  <c r="N148"/>
  <c r="N151" s="1"/>
  <c r="T32"/>
  <c r="T77"/>
  <c r="U48"/>
  <c r="V55" i="10"/>
  <c r="V13" s="1"/>
  <c r="V132" i="3"/>
  <c r="V59" i="5"/>
  <c r="V21"/>
  <c r="O22"/>
  <c r="O60"/>
  <c r="O133" i="3" s="1"/>
  <c r="O44" i="5"/>
  <c r="O67" s="1"/>
  <c r="E155" i="7"/>
  <c r="F152"/>
  <c r="G152"/>
  <c r="Q20" i="5"/>
  <c r="P16"/>
  <c r="P61" s="1"/>
  <c r="P134" i="3" s="1"/>
  <c r="S31"/>
  <c r="S87" s="1"/>
  <c r="S92"/>
  <c r="S50"/>
  <c r="R93"/>
  <c r="R63"/>
  <c r="R96" s="1"/>
  <c r="R75"/>
  <c r="R88"/>
  <c r="R76" s="1"/>
  <c r="L69" i="5"/>
  <c r="L68"/>
  <c r="T136" i="3"/>
  <c r="T25" i="5"/>
  <c r="T41" s="1"/>
  <c r="M45"/>
  <c r="M66"/>
  <c r="M68" l="1"/>
  <c r="M69"/>
  <c r="T145" i="3"/>
  <c r="T63" i="5"/>
  <c r="T138" i="3"/>
  <c r="U26" i="5"/>
  <c r="S63" i="3"/>
  <c r="S96" s="1"/>
  <c r="S93"/>
  <c r="S75"/>
  <c r="S88"/>
  <c r="S76" s="1"/>
  <c r="Q16" i="5"/>
  <c r="Q61" s="1"/>
  <c r="Q134" i="3" s="1"/>
  <c r="R20" i="5"/>
  <c r="O62"/>
  <c r="O43"/>
  <c r="T92" i="3"/>
  <c r="T31"/>
  <c r="T87" s="1"/>
  <c r="T50"/>
  <c r="N150"/>
  <c r="N152"/>
  <c r="P60" i="5"/>
  <c r="P133" i="3" s="1"/>
  <c r="P22" i="5"/>
  <c r="P44"/>
  <c r="P67" s="1"/>
  <c r="V32" i="3"/>
  <c r="V77"/>
  <c r="E154" i="7"/>
  <c r="F155"/>
  <c r="G155"/>
  <c r="O135" i="3"/>
  <c r="O147" s="1"/>
  <c r="O148"/>
  <c r="O151" s="1"/>
  <c r="U32"/>
  <c r="U77"/>
  <c r="T91"/>
  <c r="T71"/>
  <c r="N45" i="5"/>
  <c r="N66"/>
  <c r="R14"/>
  <c r="Q10"/>
  <c r="S14" l="1"/>
  <c r="R10"/>
  <c r="O150" i="3"/>
  <c r="O152"/>
  <c r="V71"/>
  <c r="V91"/>
  <c r="P135"/>
  <c r="P147" s="1"/>
  <c r="P148"/>
  <c r="P151" s="1"/>
  <c r="T75"/>
  <c r="T88"/>
  <c r="T76" s="1"/>
  <c r="O45" i="5"/>
  <c r="O66"/>
  <c r="S20"/>
  <c r="R16"/>
  <c r="R61" s="1"/>
  <c r="R134" i="3" s="1"/>
  <c r="U136"/>
  <c r="U25" i="5"/>
  <c r="U41" s="1"/>
  <c r="U92" i="3"/>
  <c r="U31"/>
  <c r="U87" s="1"/>
  <c r="U50"/>
  <c r="Q22" i="5"/>
  <c r="Q60"/>
  <c r="Q133" i="3" s="1"/>
  <c r="Q44" i="5"/>
  <c r="Q67" s="1"/>
  <c r="N69"/>
  <c r="N68"/>
  <c r="U91" i="3"/>
  <c r="U71"/>
  <c r="E157" i="7"/>
  <c r="G154"/>
  <c r="F154"/>
  <c r="V31" i="3"/>
  <c r="V87" s="1"/>
  <c r="V92"/>
  <c r="V50"/>
  <c r="P62" i="5"/>
  <c r="P43"/>
  <c r="T63" i="3"/>
  <c r="T96" s="1"/>
  <c r="T93"/>
  <c r="P45" i="5" l="1"/>
  <c r="P66"/>
  <c r="V75" i="3"/>
  <c r="V88"/>
  <c r="V76" s="1"/>
  <c r="Q43" i="5"/>
  <c r="Q62"/>
  <c r="U75" i="3"/>
  <c r="U88"/>
  <c r="U76" s="1"/>
  <c r="T20" i="5"/>
  <c r="S16"/>
  <c r="S61" s="1"/>
  <c r="S134" i="3" s="1"/>
  <c r="P152"/>
  <c r="P150"/>
  <c r="T14" i="5"/>
  <c r="S10"/>
  <c r="V63" i="3"/>
  <c r="V96" s="1"/>
  <c r="V93"/>
  <c r="F157" i="7"/>
  <c r="G157"/>
  <c r="E158"/>
  <c r="Q135" i="3"/>
  <c r="Q147" s="1"/>
  <c r="Q148"/>
  <c r="Q151" s="1"/>
  <c r="U63"/>
  <c r="U96" s="1"/>
  <c r="U93"/>
  <c r="V26" i="5"/>
  <c r="U138" i="3"/>
  <c r="U63" i="5"/>
  <c r="U145" i="3"/>
  <c r="O68" i="5"/>
  <c r="O69"/>
  <c r="R22"/>
  <c r="R60"/>
  <c r="R133" i="3" s="1"/>
  <c r="R44" i="5"/>
  <c r="R67" s="1"/>
  <c r="F158" i="7" l="1"/>
  <c r="G158"/>
  <c r="U14" i="5"/>
  <c r="T10"/>
  <c r="U20"/>
  <c r="T16"/>
  <c r="T61" s="1"/>
  <c r="T134" i="3" s="1"/>
  <c r="Q45" i="5"/>
  <c r="Q66"/>
  <c r="R43"/>
  <c r="R62"/>
  <c r="R135" i="3"/>
  <c r="R147" s="1"/>
  <c r="R148"/>
  <c r="R151" s="1"/>
  <c r="V136"/>
  <c r="V25" i="5"/>
  <c r="V41" s="1"/>
  <c r="Q150" i="3"/>
  <c r="Q152"/>
  <c r="S22" i="5"/>
  <c r="S60"/>
  <c r="S133" i="3" s="1"/>
  <c r="S44" i="5"/>
  <c r="S67" s="1"/>
  <c r="P69"/>
  <c r="P68"/>
  <c r="S43" l="1"/>
  <c r="S62"/>
  <c r="R150" i="3"/>
  <c r="R152"/>
  <c r="R66" i="5"/>
  <c r="R45"/>
  <c r="U16"/>
  <c r="U61" s="1"/>
  <c r="U134" i="3" s="1"/>
  <c r="V20" i="5"/>
  <c r="V16" s="1"/>
  <c r="V61" s="1"/>
  <c r="V134" i="3" s="1"/>
  <c r="V14" i="5"/>
  <c r="V10" s="1"/>
  <c r="U10"/>
  <c r="S135" i="3"/>
  <c r="S147" s="1"/>
  <c r="S148"/>
  <c r="S151" s="1"/>
  <c r="V138"/>
  <c r="V63" i="5"/>
  <c r="V44"/>
  <c r="V67" s="1"/>
  <c r="V145" i="3"/>
  <c r="Q69" i="5"/>
  <c r="Q68"/>
  <c r="T60"/>
  <c r="T133" i="3" s="1"/>
  <c r="T22" i="5"/>
  <c r="T44"/>
  <c r="T67" s="1"/>
  <c r="S152" i="3" l="1"/>
  <c r="S150"/>
  <c r="V22" i="5"/>
  <c r="V60"/>
  <c r="V133" i="3" s="1"/>
  <c r="V135" s="1"/>
  <c r="V147" s="1"/>
  <c r="R69" i="5"/>
  <c r="R68"/>
  <c r="S45"/>
  <c r="S66"/>
  <c r="T135" i="3"/>
  <c r="T147" s="1"/>
  <c r="T148"/>
  <c r="T151" s="1"/>
  <c r="T43" i="5"/>
  <c r="T62"/>
  <c r="U22"/>
  <c r="U60"/>
  <c r="U133" i="3" s="1"/>
  <c r="U44" i="5"/>
  <c r="U67" s="1"/>
  <c r="V148" i="3"/>
  <c r="V151" s="1"/>
  <c r="U135" l="1"/>
  <c r="U147" s="1"/>
  <c r="U148"/>
  <c r="U151" s="1"/>
  <c r="U62" i="5"/>
  <c r="U43"/>
  <c r="T66"/>
  <c r="T45"/>
  <c r="T150" i="3"/>
  <c r="T152"/>
  <c r="V62" i="5"/>
  <c r="V43"/>
  <c r="S69"/>
  <c r="S68"/>
  <c r="V152" i="3"/>
  <c r="V150"/>
  <c r="T68" i="5" l="1"/>
  <c r="T69"/>
  <c r="U152" i="3"/>
  <c r="U150"/>
  <c r="V66" i="5"/>
  <c r="V45"/>
  <c r="U66"/>
  <c r="U45"/>
  <c r="U69" l="1"/>
  <c r="U68"/>
  <c r="V68"/>
  <c r="V69"/>
</calcChain>
</file>

<file path=xl/comments1.xml><?xml version="1.0" encoding="utf-8"?>
<comments xmlns="http://schemas.openxmlformats.org/spreadsheetml/2006/main">
  <authors>
    <author>avalenzu</author>
    <author>Un usuario de Microsoft Office satisfecho</author>
  </authors>
  <commentList>
    <comment ref="B9" authorId="0">
      <text>
        <r>
          <rPr>
            <b/>
            <sz val="8"/>
            <color indexed="81"/>
            <rFont val="Tahoma"/>
            <family val="2"/>
          </rPr>
          <t>avalenzu:</t>
        </r>
        <r>
          <rPr>
            <sz val="8"/>
            <color indexed="81"/>
            <rFont val="Tahoma"/>
            <family val="2"/>
          </rPr>
          <t xml:space="preserve">
ESTOS DATOS SON AUTOMATICOS SEGÚN EJECUCIONES</t>
        </r>
      </text>
    </comment>
    <comment ref="A19" authorId="1">
      <text>
        <r>
          <rPr>
            <sz val="8"/>
            <color indexed="81"/>
            <rFont val="Tahoma"/>
            <family val="2"/>
          </rPr>
          <t>Sumatoria de Impuesto de Espectáculos Públicos, Sobretasa Ambiental, Impuesto Rifas y Apuestas, Impuesto Avisos y Tableros, Impuesto Deguello Ganado Menor, Impuesto de Delineación Urbana, Estampillas, Sobretasa Bomberil,  y Otros Ingresos Tributarios (Formato CGR).</t>
        </r>
      </text>
    </comment>
    <comment ref="A22" authorId="1">
      <text>
        <r>
          <rPr>
            <sz val="8"/>
            <color indexed="81"/>
            <rFont val="Tahoma"/>
            <family val="2"/>
          </rPr>
          <t xml:space="preserve">Corresponde a la sumatoria de otros ingresos no tributarios y fondos especiales.   Aunque en el formato de la contraloría se identifican con códigos diferentes, aquí se utiliza el código de los "otros  ingresos no tributarios".
</t>
        </r>
      </text>
    </comment>
    <comment ref="A45" authorId="1">
      <text>
        <r>
          <rPr>
            <sz val="8"/>
            <color indexed="81"/>
            <rFont val="Tahoma"/>
            <family val="2"/>
          </rPr>
          <t xml:space="preserve">Corresponde a la sumatoria de transferencias a entidades descentralizadas, pagos a particulares, pagos a organismos internacionales y otras transferencias.    Aunque en el formato de la Contraloría tienen códigos diferentes, aquí utilizamos el código de otras transferencias.
</t>
        </r>
      </text>
    </comment>
    <comment ref="A46" authorId="1">
      <text>
        <r>
          <rPr>
            <sz val="8"/>
            <color indexed="81"/>
            <rFont val="Tahoma"/>
            <family val="2"/>
          </rPr>
          <t xml:space="preserve">Intereses,  comisiones y otros.  
Deuda Interna y Deuda Externa (Formato CGR)
</t>
        </r>
      </text>
    </comment>
    <comment ref="G122" authorId="0">
      <text>
        <r>
          <rPr>
            <b/>
            <sz val="8"/>
            <color indexed="81"/>
            <rFont val="Tahoma"/>
            <family val="2"/>
          </rPr>
          <t>avalenzu:
1,- SE  PUEDE ASUMIR QUE SE MANTIENE LA MISMA CATEGORIA.
2,- SE PUEDE PROYECTAR UNA NUEVA CATEGORIA SEGÚN LA PROYECCION DE ICLD Y LA PROYECCION DEL SML. EN ESTE CASO DIGITE LA CATEGORIA. PROYECTADA. (CATEGORIA ESPECIAL = 0)</t>
        </r>
      </text>
    </comment>
    <comment ref="H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I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J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K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L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M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N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O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P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Q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R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S122" authorId="0">
      <text>
        <r>
          <rPr>
            <b/>
            <sz val="8"/>
            <color indexed="81"/>
            <rFont val="Tahoma"/>
            <family val="2"/>
          </rPr>
          <t>avalenzu:</t>
        </r>
        <r>
          <rPr>
            <sz val="8"/>
            <color indexed="81"/>
            <rFont val="Tahoma"/>
            <family val="2"/>
          </rPr>
          <t xml:space="preserve">
1,- SE  PUEDE ASUMIR QUE SE MANTIENE LA MISMA CATEGORIA.
2,- SE PUEDE PROYECTAR UNA NUEVA CATEGORIA SEGÚN LA PROYECCION DE ICLD Y LA PROYECCION DEL SML. EN ESTE CASO DIGITE LA CATEGORIA. PROYECTADA. (CATEGORIA ESPECIAL = 0)</t>
        </r>
      </text>
    </comment>
    <comment ref="C130" authorId="0">
      <text>
        <r>
          <rPr>
            <b/>
            <sz val="8"/>
            <color indexed="81"/>
            <rFont val="Tahoma"/>
            <family val="2"/>
          </rPr>
          <t>avalenzu:</t>
        </r>
        <r>
          <rPr>
            <sz val="8"/>
            <color indexed="81"/>
            <rFont val="Tahoma"/>
            <family val="2"/>
          </rPr>
          <t xml:space="preserve">
ESTE DATO ES AUTOMATICO SEGÚN VIGENCIA Y CATEGORIA</t>
        </r>
      </text>
    </comment>
    <comment ref="G130" authorId="0">
      <text>
        <r>
          <rPr>
            <b/>
            <sz val="8"/>
            <color indexed="81"/>
            <rFont val="Tahoma"/>
            <family val="2"/>
          </rPr>
          <t>avalenzu:</t>
        </r>
        <r>
          <rPr>
            <sz val="8"/>
            <color indexed="81"/>
            <rFont val="Tahoma"/>
            <family val="2"/>
          </rPr>
          <t xml:space="preserve">
ESTE DATO ES AUTOMATICO SEGÚN VIGENCIA Y CATEGORIA</t>
        </r>
      </text>
    </comment>
    <comment ref="H130" authorId="0">
      <text>
        <r>
          <rPr>
            <b/>
            <sz val="8"/>
            <color indexed="81"/>
            <rFont val="Tahoma"/>
            <family val="2"/>
          </rPr>
          <t>avalenzu:</t>
        </r>
        <r>
          <rPr>
            <sz val="8"/>
            <color indexed="81"/>
            <rFont val="Tahoma"/>
            <family val="2"/>
          </rPr>
          <t xml:space="preserve">
ESTE DATO ES AUTOMATICO SEGÚN VIGENCIA Y CATEGORIA</t>
        </r>
      </text>
    </comment>
    <comment ref="I130" authorId="0">
      <text>
        <r>
          <rPr>
            <b/>
            <sz val="8"/>
            <color indexed="81"/>
            <rFont val="Tahoma"/>
            <family val="2"/>
          </rPr>
          <t>avalenzu:</t>
        </r>
        <r>
          <rPr>
            <sz val="8"/>
            <color indexed="81"/>
            <rFont val="Tahoma"/>
            <family val="2"/>
          </rPr>
          <t xml:space="preserve">
ESTE DATO ES AUTOMATICO SEGÚN VIGENCIA Y CATEGORIA</t>
        </r>
      </text>
    </comment>
    <comment ref="J130" authorId="0">
      <text>
        <r>
          <rPr>
            <b/>
            <sz val="8"/>
            <color indexed="81"/>
            <rFont val="Tahoma"/>
            <family val="2"/>
          </rPr>
          <t>avalenzu:</t>
        </r>
        <r>
          <rPr>
            <sz val="8"/>
            <color indexed="81"/>
            <rFont val="Tahoma"/>
            <family val="2"/>
          </rPr>
          <t xml:space="preserve">
ESTE DATO ES AUTOMATICO SEGÚN VIGENCIA Y CATEGORIA</t>
        </r>
      </text>
    </comment>
    <comment ref="K130" authorId="0">
      <text>
        <r>
          <rPr>
            <b/>
            <sz val="8"/>
            <color indexed="81"/>
            <rFont val="Tahoma"/>
            <family val="2"/>
          </rPr>
          <t>avalenzu:</t>
        </r>
        <r>
          <rPr>
            <sz val="8"/>
            <color indexed="81"/>
            <rFont val="Tahoma"/>
            <family val="2"/>
          </rPr>
          <t xml:space="preserve">
ESTE DATO ES AUTOMATICO SEGÚN VIGENCIA Y CATEGORIA</t>
        </r>
      </text>
    </comment>
    <comment ref="L130" authorId="0">
      <text>
        <r>
          <rPr>
            <b/>
            <sz val="8"/>
            <color indexed="81"/>
            <rFont val="Tahoma"/>
            <family val="2"/>
          </rPr>
          <t>avalenzu:</t>
        </r>
        <r>
          <rPr>
            <sz val="8"/>
            <color indexed="81"/>
            <rFont val="Tahoma"/>
            <family val="2"/>
          </rPr>
          <t xml:space="preserve">
ESTE DATO ES AUTOMATICO SEGÚN VIGENCIA Y CATEGORIA</t>
        </r>
      </text>
    </comment>
    <comment ref="M130" authorId="0">
      <text>
        <r>
          <rPr>
            <b/>
            <sz val="8"/>
            <color indexed="81"/>
            <rFont val="Tahoma"/>
            <family val="2"/>
          </rPr>
          <t>avalenzu:</t>
        </r>
        <r>
          <rPr>
            <sz val="8"/>
            <color indexed="81"/>
            <rFont val="Tahoma"/>
            <family val="2"/>
          </rPr>
          <t xml:space="preserve">
ESTE DATO ES AUTOMATICO SEGÚN VIGENCIA Y CATEGORIA</t>
        </r>
      </text>
    </comment>
    <comment ref="N130" authorId="0">
      <text>
        <r>
          <rPr>
            <b/>
            <sz val="8"/>
            <color indexed="81"/>
            <rFont val="Tahoma"/>
            <family val="2"/>
          </rPr>
          <t>avalenzu:</t>
        </r>
        <r>
          <rPr>
            <sz val="8"/>
            <color indexed="81"/>
            <rFont val="Tahoma"/>
            <family val="2"/>
          </rPr>
          <t xml:space="preserve">
ESTE DATO ES AUTOMATICO SEGÚN VIGENCIA Y CATEGORIA</t>
        </r>
      </text>
    </comment>
    <comment ref="O130" authorId="0">
      <text>
        <r>
          <rPr>
            <b/>
            <sz val="8"/>
            <color indexed="81"/>
            <rFont val="Tahoma"/>
            <family val="2"/>
          </rPr>
          <t>avalenzu:</t>
        </r>
        <r>
          <rPr>
            <sz val="8"/>
            <color indexed="81"/>
            <rFont val="Tahoma"/>
            <family val="2"/>
          </rPr>
          <t xml:space="preserve">
ESTE DATO ES AUTOMATICO SEGÚN VIGENCIA Y CATEGORIA</t>
        </r>
      </text>
    </comment>
    <comment ref="P130" authorId="0">
      <text>
        <r>
          <rPr>
            <b/>
            <sz val="8"/>
            <color indexed="81"/>
            <rFont val="Tahoma"/>
            <family val="2"/>
          </rPr>
          <t>avalenzu:</t>
        </r>
        <r>
          <rPr>
            <sz val="8"/>
            <color indexed="81"/>
            <rFont val="Tahoma"/>
            <family val="2"/>
          </rPr>
          <t xml:space="preserve">
ESTE DATO ES AUTOMATICO SEGÚN VIGENCIA Y CATEGORIA</t>
        </r>
      </text>
    </comment>
    <comment ref="Q130" authorId="0">
      <text>
        <r>
          <rPr>
            <b/>
            <sz val="8"/>
            <color indexed="81"/>
            <rFont val="Tahoma"/>
            <family val="2"/>
          </rPr>
          <t>avalenzu:</t>
        </r>
        <r>
          <rPr>
            <sz val="8"/>
            <color indexed="81"/>
            <rFont val="Tahoma"/>
            <family val="2"/>
          </rPr>
          <t xml:space="preserve">
ESTE DATO ES AUTOMATICO SEGÚN VIGENCIA Y CATEGORIA</t>
        </r>
      </text>
    </comment>
    <comment ref="R130" authorId="0">
      <text>
        <r>
          <rPr>
            <b/>
            <sz val="8"/>
            <color indexed="81"/>
            <rFont val="Tahoma"/>
            <family val="2"/>
          </rPr>
          <t>avalenzu:</t>
        </r>
        <r>
          <rPr>
            <sz val="8"/>
            <color indexed="81"/>
            <rFont val="Tahoma"/>
            <family val="2"/>
          </rPr>
          <t xml:space="preserve">
ESTE DATO ES AUTOMATICO SEGÚN VIGENCIA Y CATEGORIA</t>
        </r>
      </text>
    </comment>
    <comment ref="S130" authorId="0">
      <text>
        <r>
          <rPr>
            <b/>
            <sz val="8"/>
            <color indexed="81"/>
            <rFont val="Tahoma"/>
            <family val="2"/>
          </rPr>
          <t>avalenzu:</t>
        </r>
        <r>
          <rPr>
            <sz val="8"/>
            <color indexed="81"/>
            <rFont val="Tahoma"/>
            <family val="2"/>
          </rPr>
          <t xml:space="preserve">
ESTE DATO ES AUTOMATICO SEGÚN VIGENCIA Y CATEGORIA</t>
        </r>
      </text>
    </comment>
    <comment ref="G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H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I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J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K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L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M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N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O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P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Q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R132" authorId="0">
      <text>
        <r>
          <rPr>
            <b/>
            <sz val="10"/>
            <color indexed="81"/>
            <rFont val="Tahoma"/>
            <family val="2"/>
          </rPr>
          <t>avalenzu:</t>
        </r>
        <r>
          <rPr>
            <sz val="10"/>
            <color indexed="81"/>
            <rFont val="Tahoma"/>
            <family val="2"/>
          </rPr>
          <t xml:space="preserve">
SE CONSIDERA QUE LA VIGENCIA ACTUAL CORRESPONDE AL AÑO 1  DE LA PROYECCION</t>
        </r>
      </text>
    </comment>
    <comment ref="S132" authorId="0">
      <text>
        <r>
          <rPr>
            <b/>
            <sz val="10"/>
            <color indexed="81"/>
            <rFont val="Tahoma"/>
            <family val="2"/>
          </rPr>
          <t>avalenzu:</t>
        </r>
        <r>
          <rPr>
            <sz val="10"/>
            <color indexed="81"/>
            <rFont val="Tahoma"/>
            <family val="2"/>
          </rPr>
          <t xml:space="preserve">
SE CONSIDERA QUE LA VIGENCIA ACTUAL CORRESPONDE AL AÑO 1  DE LA PROYECCION</t>
        </r>
      </text>
    </comment>
  </commentList>
</comments>
</file>

<file path=xl/comments10.xml><?xml version="1.0" encoding="utf-8"?>
<comments xmlns="http://schemas.openxmlformats.org/spreadsheetml/2006/main">
  <authors>
    <author>avalenzu</author>
  </authors>
  <commentList>
    <comment ref="C8" authorId="0">
      <text>
        <r>
          <rPr>
            <b/>
            <sz val="8"/>
            <color indexed="81"/>
            <rFont val="Tahoma"/>
            <family val="2"/>
          </rPr>
          <t>avalenzu:</t>
        </r>
        <r>
          <rPr>
            <sz val="8"/>
            <color indexed="81"/>
            <rFont val="Tahoma"/>
            <family val="2"/>
          </rPr>
          <t xml:space="preserve">
DIGITAR FECHA DE CORTE DE ACREENCIAS SOBRE LA LINEA QUE APARECE DESPUES DE a: ________</t>
        </r>
      </text>
    </comment>
  </commentList>
</comments>
</file>

<file path=xl/comments11.xml><?xml version="1.0" encoding="utf-8"?>
<comments xmlns="http://schemas.openxmlformats.org/spreadsheetml/2006/main">
  <authors>
    <author>minhacienda</author>
    <author>avalenzu</author>
    <author>Un usuario de Microsoft Office satisfecho</author>
  </authors>
  <commentList>
    <comment ref="B8" authorId="0">
      <text>
        <r>
          <rPr>
            <b/>
            <sz val="8"/>
            <color indexed="81"/>
            <rFont val="Tahoma"/>
            <family val="2"/>
          </rPr>
          <t>avlenzu:</t>
        </r>
        <r>
          <rPr>
            <sz val="8"/>
            <color indexed="81"/>
            <rFont val="Tahoma"/>
            <family val="2"/>
          </rPr>
          <t xml:space="preserve">
DIGITAR EL NOMBRE DEL MUNICIPIO</t>
        </r>
      </text>
    </comment>
    <comment ref="B10" authorId="1">
      <text>
        <r>
          <rPr>
            <b/>
            <sz val="8"/>
            <color indexed="81"/>
            <rFont val="Tahoma"/>
            <family val="2"/>
          </rPr>
          <t>avalenzu:</t>
        </r>
        <r>
          <rPr>
            <sz val="8"/>
            <color indexed="81"/>
            <rFont val="Tahoma"/>
            <family val="2"/>
          </rPr>
          <t xml:space="preserve">
- ESCOGER DE LA LISTA LA VIGENCIA FISCAL PARA LA CUAL SE REPORTA INFORMACION.</t>
        </r>
      </text>
    </comment>
    <comment ref="E10" authorId="1">
      <text>
        <r>
          <rPr>
            <b/>
            <sz val="8"/>
            <color indexed="81"/>
            <rFont val="Tahoma"/>
            <family val="2"/>
          </rPr>
          <t>avalenzu:</t>
        </r>
        <r>
          <rPr>
            <sz val="8"/>
            <color indexed="81"/>
            <rFont val="Tahoma"/>
            <family val="2"/>
          </rPr>
          <t xml:space="preserve">
- ESCOGER DE LA LISTA EL NUMERO DEL MES QUE SE REPORTA INFORMACION, DONDE ENERO ES 1, FEBRERO 2, …. DICIEMBRE 12. 
- SI ES AÑO COMPLETO ESCOGER EL CERO (0) </t>
        </r>
      </text>
    </comment>
    <comment ref="B12" authorId="1">
      <text>
        <r>
          <rPr>
            <b/>
            <sz val="8"/>
            <color indexed="81"/>
            <rFont val="Tahoma"/>
            <family val="2"/>
          </rPr>
          <t>avalenzu:</t>
        </r>
        <r>
          <rPr>
            <sz val="8"/>
            <color indexed="81"/>
            <rFont val="Tahoma"/>
            <family val="2"/>
          </rPr>
          <t xml:space="preserve">
- ESCOGER DE LA LISTA LA CATEGORIA DEL MUNICIPIO CORRESPONSIENTE PARA LA VIGENCIA FISCAL QUE SE REPORTA INFORMACION.
- LA CATEGORIA ESPECIAL = 0
</t>
        </r>
      </text>
    </comment>
    <comment ref="B17" authorId="1">
      <text>
        <r>
          <rPr>
            <b/>
            <sz val="8"/>
            <color indexed="81"/>
            <rFont val="Tahoma"/>
            <family val="2"/>
          </rPr>
          <t>avalenzu:</t>
        </r>
        <r>
          <rPr>
            <sz val="8"/>
            <color indexed="81"/>
            <rFont val="Tahoma"/>
            <family val="2"/>
          </rPr>
          <t xml:space="preserve">
ESTE CAMPO ES OBLIGATORIO</t>
        </r>
      </text>
    </comment>
    <comment ref="I21" authorId="1">
      <text>
        <r>
          <rPr>
            <b/>
            <sz val="8"/>
            <color indexed="81"/>
            <rFont val="Tahoma"/>
            <family val="2"/>
          </rPr>
          <t>avalenzu:</t>
        </r>
        <r>
          <rPr>
            <sz val="8"/>
            <color indexed="81"/>
            <rFont val="Tahoma"/>
            <family val="2"/>
          </rPr>
          <t xml:space="preserve">
ESTE CAMPO ES OBLIGATORIO.
POR FAVOR DIGITE LA FECHA (DIA-MES-AÑO)  EN QUE INICIA EL PROCESO DE  ANALISIS DE LA INFORMACION.
RECUERDE QUE COMO MINIMO LA FECHA DEBE SER LA DEL AÑO ANTERIOR AL QUE SE ESCOGIO EN LA CELDA B10, PERO NO IGUAL.
POR EJEMPLO SI EN LA CELDA B10  ESCOGIO 2005, AQUI COMO MINIMO DEBE INICIAR CON ELAÑO 2004 O ANTERIORES</t>
        </r>
      </text>
    </comment>
    <comment ref="A22" authorId="1">
      <text>
        <r>
          <rPr>
            <b/>
            <sz val="8"/>
            <color indexed="81"/>
            <rFont val="Tahoma"/>
            <family val="2"/>
          </rPr>
          <t>avalenzu:</t>
        </r>
        <r>
          <rPr>
            <sz val="8"/>
            <color indexed="81"/>
            <rFont val="Tahoma"/>
            <family val="2"/>
          </rPr>
          <t xml:space="preserve">
- HACER CLIC CON EL MOUSE EN EL CUADRO DEL FRENTE Y SELECCIONAR OPCION</t>
        </r>
      </text>
    </comment>
    <comment ref="D22" authorId="1">
      <text>
        <r>
          <rPr>
            <b/>
            <sz val="8"/>
            <color indexed="81"/>
            <rFont val="Tahoma"/>
            <family val="2"/>
          </rPr>
          <t>avalenzu:</t>
        </r>
        <r>
          <rPr>
            <sz val="8"/>
            <color indexed="81"/>
            <rFont val="Tahoma"/>
            <family val="2"/>
          </rPr>
          <t xml:space="preserve">
- ESTE CAMPO ES OBLIGATORIO
- ESCOGER DE LA LISTA SI CUANDO LA E.T ESTA EN LEY 550/99.
- ESCOGER NO CUANDO E.T ADELANTA PROCESO DISTINTO A LEY 550/99</t>
        </r>
      </text>
    </comment>
    <comment ref="C25" authorId="1">
      <text>
        <r>
          <rPr>
            <b/>
            <sz val="8"/>
            <color indexed="81"/>
            <rFont val="Tahoma"/>
            <family val="2"/>
          </rPr>
          <t>avalenzu:</t>
        </r>
        <r>
          <rPr>
            <sz val="8"/>
            <color indexed="81"/>
            <rFont val="Tahoma"/>
            <family val="2"/>
          </rPr>
          <t xml:space="preserve">
LA INFORMACION DE ESTA COLUMNA SE DIGITA EN LA HOJA "INGRESOS PROYECCIONES"</t>
        </r>
      </text>
    </comment>
    <comment ref="D25" authorId="1">
      <text>
        <r>
          <rPr>
            <b/>
            <sz val="8"/>
            <color indexed="81"/>
            <rFont val="Tahoma"/>
            <family val="2"/>
          </rPr>
          <t>avalenzu:</t>
        </r>
        <r>
          <rPr>
            <sz val="8"/>
            <color indexed="81"/>
            <rFont val="Tahoma"/>
            <family val="2"/>
          </rPr>
          <t xml:space="preserve">
DIGITAR TODA LA INFORMACION EN MILLONES DE PESOS</t>
        </r>
      </text>
    </comment>
    <comment ref="J25" authorId="1">
      <text>
        <r>
          <rPr>
            <b/>
            <sz val="8"/>
            <color indexed="81"/>
            <rFont val="Tahoma"/>
            <family val="2"/>
          </rPr>
          <t>avalenzu:</t>
        </r>
        <r>
          <rPr>
            <sz val="8"/>
            <color indexed="81"/>
            <rFont val="Tahoma"/>
            <family val="2"/>
          </rPr>
          <t xml:space="preserve">
ESTA INFORMACION CORRESPONDE A LA EJECUCION DE INGRESOS ACUMULADOS HASTA EL MISMO MES DEL AÑO ANTERIOR AL QUE SE REPORTA INFORMACION</t>
        </r>
      </text>
    </comment>
    <comment ref="M25" authorId="1">
      <text>
        <r>
          <rPr>
            <b/>
            <sz val="8"/>
            <color indexed="81"/>
            <rFont val="Tahoma"/>
            <family val="2"/>
          </rPr>
          <t>avalenzu:</t>
        </r>
        <r>
          <rPr>
            <sz val="8"/>
            <color indexed="81"/>
            <rFont val="Tahoma"/>
            <family val="2"/>
          </rPr>
          <t xml:space="preserve">
- ESTA INFORMACION CORRESPONDE A LA DEL CIERRE DE LA VIGENCIA ANTERIOR A LA QUE SE ESCOGIO EN LA CELDA B10 Y SE DEBE DIGITAR EN LA COLUMNA CORRESPONDIENTE EN LA HOJA INGRESOS PROYECCIONES.
RECUERDE QUE LA VIGENCIA DE INICIO DEL ANALISIS, DEBE SER POR LO MENOS DE TRES VIGENCIAS ANTERIORES A LA ACTUAL Y EN TODO CASO, LA FECHA DE INICIO  NO PUEDE SER IGUAL A LA DE LA VIGENCIA ACTUAL. COMO MINIMO PUEDE SER LA VIGENCIA ANTERIOR.
POR EJEMPLO: SI EN LA CELDA B10 SE ESCOGIO 2005, EN ESTA COLUMNA SE RELACIONA LA INFORMACION DEL VIGENCIA 2004. PARA ELLO DEBE IR A LA HOJA INGRESOS PROYECCIONES Y DIGITAR EN LA COLUMNA CORRESPONDIENTE PARA EL 2004, LA INFORMACION DE INGRESOS.
EN ESTE CASO DEL EJEMPLO, EN LA CELDA I21 COMO MINIMO SE DEBE INDICAR QUE SE INICIA DESDE EL 2004 PARA QUE APAREZCAN RESULTADOS EN ESTA COLUMNA. </t>
        </r>
      </text>
    </comment>
    <comment ref="A32" authorId="2">
      <text>
        <r>
          <rPr>
            <sz val="8"/>
            <color indexed="81"/>
            <rFont val="Tahoma"/>
            <family val="2"/>
          </rPr>
          <t xml:space="preserve">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
</t>
        </r>
      </text>
    </comment>
    <comment ref="A36" authorId="2">
      <text>
        <r>
          <rPr>
            <sz val="8"/>
            <color indexed="81"/>
            <rFont val="Tahoma"/>
            <family val="2"/>
          </rPr>
          <t xml:space="preserve">En el formato de la Contraloría, este código corresponde al rubro Juegos de Suerte y Azar.   En la medida que la nominación legal es Rifas y Apuestas se utiliza este último nombre para el rubro.
</t>
        </r>
      </text>
    </comment>
    <comment ref="A40" authorId="2">
      <text>
        <r>
          <rPr>
            <sz val="8"/>
            <color indexed="81"/>
            <rFont val="Tahoma"/>
            <family val="2"/>
          </rPr>
          <t>La ley establece este tributo como un impuesto.   Por esta razón no se sigue la clasificación de la Contraloría que lo ubica como una tasa.</t>
        </r>
      </text>
    </comment>
    <comment ref="A41" authorId="2">
      <text>
        <r>
          <rPr>
            <sz val="8"/>
            <color indexed="81"/>
            <rFont val="Tahoma"/>
            <family val="2"/>
          </rPr>
          <t>En el formato de la Contraloría, este rubro aparece como una participación del nivel central nacional.</t>
        </r>
      </text>
    </comment>
    <comment ref="A50" authorId="2">
      <text>
        <r>
          <rPr>
            <sz val="8"/>
            <color indexed="81"/>
            <rFont val="Tahoma"/>
            <family val="2"/>
          </rPr>
          <t xml:space="preserve">Recoge los rubros del Formato de la Contraloría, que van desde el código 11201 hasta el 1120498.
</t>
        </r>
      </text>
    </comment>
    <comment ref="A57" authorId="2">
      <text>
        <r>
          <rPr>
            <sz val="8"/>
            <color indexed="81"/>
            <rFont val="Tahoma"/>
            <family val="2"/>
          </rPr>
          <t xml:space="preserve">Recoge los rubros del formato de la Contraloría que van desde 11205 hasta el 11205020498.
</t>
        </r>
      </text>
    </comment>
    <comment ref="A66" authorId="2">
      <text>
        <r>
          <rPr>
            <sz val="8"/>
            <color indexed="81"/>
            <rFont val="Tahoma"/>
            <family val="2"/>
          </rPr>
          <t xml:space="preserve">Sumatoria Subsidio Demanda y Subsidio Oferta (Formato CGR)
</t>
        </r>
      </text>
    </comment>
    <comment ref="A72" authorId="2">
      <text>
        <r>
          <rPr>
            <sz val="8"/>
            <color indexed="81"/>
            <rFont val="Tahoma"/>
            <family val="2"/>
          </rPr>
          <t xml:space="preserve">Estos rubros (alimentación Escolar y Municipios Ribereños) no aparecen discriminados en el formato de la Contraloría.
</t>
        </r>
      </text>
    </comment>
    <comment ref="A80" authorId="2">
      <text>
        <r>
          <rPr>
            <sz val="8"/>
            <color indexed="81"/>
            <rFont val="Tahoma"/>
            <family val="2"/>
          </rPr>
          <t xml:space="preserve">Este rubro en el Formato de la Contraloría, aparece como una participación.
</t>
        </r>
      </text>
    </comment>
    <comment ref="A89" authorId="2">
      <text>
        <r>
          <rPr>
            <sz val="8"/>
            <color indexed="81"/>
            <rFont val="Tahoma"/>
            <family val="2"/>
          </rPr>
          <t xml:space="preserve">El  formato de la Contraloría considera este rubro como ingreso corriente.
</t>
        </r>
      </text>
    </comment>
    <comment ref="A178" authorId="1">
      <text>
        <r>
          <rPr>
            <b/>
            <sz val="8"/>
            <color indexed="81"/>
            <rFont val="Tahoma"/>
            <family val="2"/>
          </rPr>
          <t>avalenzu:</t>
        </r>
        <r>
          <rPr>
            <sz val="8"/>
            <color indexed="81"/>
            <rFont val="Tahoma"/>
            <family val="2"/>
          </rPr>
          <t xml:space="preserve">
ESTA VERSION INCLUYE LOS SIGUIENTES ASPECTOS:
1.- APLICACIÓN ART. 49 LEY 863 DE 2003.
2.- PROYECCION DE LA CAPACIDAD DE PAGO (LEY 819/03) INDEXANDO EJECUCIONES
3.- ANALISIS DE INDICADORES LEY 617/00, LEY 358/97 Y LEY 819/03 EN LA HOJA DE BALANCE FINANCIERO.</t>
        </r>
      </text>
    </comment>
  </commentList>
</comments>
</file>

<file path=xl/comments12.xml><?xml version="1.0" encoding="utf-8"?>
<comments xmlns="http://schemas.openxmlformats.org/spreadsheetml/2006/main">
  <authors>
    <author>minhacienda</author>
    <author>avalenzu</author>
    <author>Un usuario de Microsoft Office satisfecho</author>
  </authors>
  <commentList>
    <comment ref="B8" authorId="0">
      <text>
        <r>
          <rPr>
            <b/>
            <sz val="8"/>
            <color indexed="81"/>
            <rFont val="Tahoma"/>
            <family val="2"/>
          </rPr>
          <t>avlenzu:</t>
        </r>
        <r>
          <rPr>
            <sz val="8"/>
            <color indexed="81"/>
            <rFont val="Tahoma"/>
            <family val="2"/>
          </rPr>
          <t xml:space="preserve">
DIGITAR EL NOMBRE DEL MUNICIPIO</t>
        </r>
      </text>
    </comment>
    <comment ref="B10" authorId="1">
      <text>
        <r>
          <rPr>
            <b/>
            <sz val="8"/>
            <color indexed="81"/>
            <rFont val="Tahoma"/>
            <family val="2"/>
          </rPr>
          <t>avalenzu:</t>
        </r>
        <r>
          <rPr>
            <sz val="8"/>
            <color indexed="81"/>
            <rFont val="Tahoma"/>
            <family val="2"/>
          </rPr>
          <t xml:space="preserve">
- ESCOGER DE LA LISTA LA VIGENCIA FISCAL PARA LA CUAL SE REPORTA INFORMACION.</t>
        </r>
      </text>
    </comment>
    <comment ref="E10" authorId="1">
      <text>
        <r>
          <rPr>
            <b/>
            <sz val="8"/>
            <color indexed="81"/>
            <rFont val="Tahoma"/>
            <family val="2"/>
          </rPr>
          <t>avalenzu:</t>
        </r>
        <r>
          <rPr>
            <sz val="8"/>
            <color indexed="81"/>
            <rFont val="Tahoma"/>
            <family val="2"/>
          </rPr>
          <t xml:space="preserve">
- ESCOGER DE LA LISTA EL NUMERO DEL MES QUE SE REPORTA INFORMACION, DONDE ENERO ES 1, FEBRERO 2, …. DICIEMBRE 12. 
- SI ES AÑO COMPLETO ESCOGER EL CERO (0) </t>
        </r>
      </text>
    </comment>
    <comment ref="B12" authorId="1">
      <text>
        <r>
          <rPr>
            <b/>
            <sz val="8"/>
            <color indexed="81"/>
            <rFont val="Tahoma"/>
            <family val="2"/>
          </rPr>
          <t>avalenzu:</t>
        </r>
        <r>
          <rPr>
            <sz val="8"/>
            <color indexed="81"/>
            <rFont val="Tahoma"/>
            <family val="2"/>
          </rPr>
          <t xml:space="preserve">
- ESCOGER DE LA LISTA LA CATEGORIA DEL MUNICIPIO CORRESPONSIENTE PARA LA VIGENCIA FISCAL QUE SE REPORTA INFORMACION.
- LA CATEGORIA ESPECIAL = 0
</t>
        </r>
      </text>
    </comment>
    <comment ref="B17" authorId="1">
      <text>
        <r>
          <rPr>
            <b/>
            <sz val="8"/>
            <color indexed="81"/>
            <rFont val="Tahoma"/>
            <family val="2"/>
          </rPr>
          <t>avalenzu:</t>
        </r>
        <r>
          <rPr>
            <sz val="8"/>
            <color indexed="81"/>
            <rFont val="Tahoma"/>
            <family val="2"/>
          </rPr>
          <t xml:space="preserve">
ESTE CAMPO ES OBLIGATORIO</t>
        </r>
      </text>
    </comment>
    <comment ref="I21" authorId="1">
      <text>
        <r>
          <rPr>
            <b/>
            <sz val="8"/>
            <color indexed="81"/>
            <rFont val="Tahoma"/>
            <family val="2"/>
          </rPr>
          <t>avalenzu:</t>
        </r>
        <r>
          <rPr>
            <sz val="8"/>
            <color indexed="81"/>
            <rFont val="Tahoma"/>
            <family val="2"/>
          </rPr>
          <t xml:space="preserve">
ESTE CAMPO ES OBLIGATORIO.
POR FAVOR DIGITE LA FECHA (DIA-MES-AÑO)  EN QUE INICIA EL PROCESO DE  ANALISIS DE LA INFORMACION.
RECUERDE QUE COMO MINIMO LA FECHA DEBE SER LA DEL AÑO ANTERIOR AL QUE SE ESCOGIO EN LA CELDA B10, PERO NO IGUAL.
POR EJEMPLO SI EN LA CELDA B10  ESCOGIO 2005, AQUI COMO MINIMO DEBE INICIAR CON ELAÑO 2004 O ANTERIORES</t>
        </r>
      </text>
    </comment>
    <comment ref="A22" authorId="1">
      <text>
        <r>
          <rPr>
            <b/>
            <sz val="8"/>
            <color indexed="81"/>
            <rFont val="Tahoma"/>
            <family val="2"/>
          </rPr>
          <t>avalenzu:</t>
        </r>
        <r>
          <rPr>
            <sz val="8"/>
            <color indexed="81"/>
            <rFont val="Tahoma"/>
            <family val="2"/>
          </rPr>
          <t xml:space="preserve">
- HACER CLIC CON EL MOUSE EN EL CUADRO DEL FRENTE Y SELECCIONAR OPCION</t>
        </r>
      </text>
    </comment>
    <comment ref="D22" authorId="1">
      <text>
        <r>
          <rPr>
            <b/>
            <sz val="8"/>
            <color indexed="81"/>
            <rFont val="Tahoma"/>
            <family val="2"/>
          </rPr>
          <t>avalenzu:</t>
        </r>
        <r>
          <rPr>
            <sz val="8"/>
            <color indexed="81"/>
            <rFont val="Tahoma"/>
            <family val="2"/>
          </rPr>
          <t xml:space="preserve">
- ESTE CAMPO ES OBLIGATORIO
- ESCOGER DE LA LISTA SI CUANDO LA E.T ESTA EN LEY 550/99.
- ESCOGER NO CUANDO E.T ADELANTA PROCESO DISTINTO A LEY 550/99</t>
        </r>
      </text>
    </comment>
    <comment ref="C25" authorId="1">
      <text>
        <r>
          <rPr>
            <b/>
            <sz val="8"/>
            <color indexed="81"/>
            <rFont val="Tahoma"/>
            <family val="2"/>
          </rPr>
          <t>avalenzu:</t>
        </r>
        <r>
          <rPr>
            <sz val="8"/>
            <color indexed="81"/>
            <rFont val="Tahoma"/>
            <family val="2"/>
          </rPr>
          <t xml:space="preserve">
LA INFORMACION DE ESTA COLUMNA SE DIGITA EN LA HOJA "INGRESOS PROYECCIONES"</t>
        </r>
      </text>
    </comment>
    <comment ref="D25" authorId="1">
      <text>
        <r>
          <rPr>
            <b/>
            <sz val="8"/>
            <color indexed="81"/>
            <rFont val="Tahoma"/>
            <family val="2"/>
          </rPr>
          <t>avalenzu:</t>
        </r>
        <r>
          <rPr>
            <sz val="8"/>
            <color indexed="81"/>
            <rFont val="Tahoma"/>
            <family val="2"/>
          </rPr>
          <t xml:space="preserve">
DIGITAR TODA LA INFORMACION EN MILLONES DE PESOS</t>
        </r>
      </text>
    </comment>
    <comment ref="J25" authorId="1">
      <text>
        <r>
          <rPr>
            <b/>
            <sz val="8"/>
            <color indexed="81"/>
            <rFont val="Tahoma"/>
            <family val="2"/>
          </rPr>
          <t>avalenzu:</t>
        </r>
        <r>
          <rPr>
            <sz val="8"/>
            <color indexed="81"/>
            <rFont val="Tahoma"/>
            <family val="2"/>
          </rPr>
          <t xml:space="preserve">
ESTA INFORMACION CORRESPONDE A LA EJECUCION DE INGRESOS ACUMULADOS HASTA EL MISMO MES DEL AÑO ANTERIOR AL QUE SE REPORTA INFORMACION</t>
        </r>
      </text>
    </comment>
    <comment ref="M25" authorId="1">
      <text>
        <r>
          <rPr>
            <b/>
            <sz val="8"/>
            <color indexed="81"/>
            <rFont val="Tahoma"/>
            <family val="2"/>
          </rPr>
          <t>avalenzu:</t>
        </r>
        <r>
          <rPr>
            <sz val="8"/>
            <color indexed="81"/>
            <rFont val="Tahoma"/>
            <family val="2"/>
          </rPr>
          <t xml:space="preserve">
- ESTA INFORMACION CORRESPONDE A LA DEL CIERRE DE LA VIGENCIA ANTERIOR A LA QUE SE ESCOGIO EN LA CELDA B10 Y SE DEBE DIGITAR EN LA COLUMNA CORRESPONDIENTE EN LA HOJA INGRESOS PROYECCIONES.
RECUERDE QUE LA VIGENCIA DE INICIO DEL ANALISIS, DEBE SER POR LO MENOS DE TRES VIGENCIAS ANTERIORES A LA ACTUAL Y EN TODO CASO, LA FECHA DE INICIO  NO PUEDE SER IGUAL A LA DE LA VIGENCIA ACTUAL. COMO MINIMO PUEDE SER LA VIGENCIA ANTERIOR.
POR EJEMPLO: SI EN LA CELDA B10 SE ESCOGIO 2005, EN ESTA COLUMNA SE RELACIONA LA INFORMACION DEL VIGENCIA 2004. PARA ELLO DEBE IR A LA HOJA INGRESOS PROYECCIONES Y DIGITAR EN LA COLUMNA CORRESPONDIENTE PARA EL 2004, LA INFORMACION DE INGRESOS.
EN ESTE CASO DEL EJEMPLO, EN LA CELDA I21 COMO MINIMO SE DEBE INDICAR QUE SE INICIA DESDE EL 2004 PARA QUE APAREZCAN RESULTADOS EN ESTA COLUMNA. </t>
        </r>
      </text>
    </comment>
    <comment ref="A32" authorId="2">
      <text>
        <r>
          <rPr>
            <sz val="8"/>
            <color indexed="81"/>
            <rFont val="Tahoma"/>
            <family val="2"/>
          </rPr>
          <t xml:space="preserve">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
</t>
        </r>
      </text>
    </comment>
    <comment ref="A36" authorId="2">
      <text>
        <r>
          <rPr>
            <sz val="8"/>
            <color indexed="81"/>
            <rFont val="Tahoma"/>
            <family val="2"/>
          </rPr>
          <t xml:space="preserve">En el formato de la Contraloría, este código corresponde al rubro Juegos de Suerte y Azar.   En la medida que la nominación legal es Rifas y Apuestas se utiliza este último nombre para el rubro.
</t>
        </r>
      </text>
    </comment>
    <comment ref="A40" authorId="2">
      <text>
        <r>
          <rPr>
            <sz val="8"/>
            <color indexed="81"/>
            <rFont val="Tahoma"/>
            <family val="2"/>
          </rPr>
          <t>La ley establece este tributo como un impuesto.   Por esta razón no se sigue la clasificación de la Contraloría que lo ubica como una tasa.</t>
        </r>
      </text>
    </comment>
    <comment ref="A41" authorId="2">
      <text>
        <r>
          <rPr>
            <sz val="8"/>
            <color indexed="81"/>
            <rFont val="Tahoma"/>
            <family val="2"/>
          </rPr>
          <t>En el formato de la Contraloría, este rubro aparece como una participación del nivel central nacional.</t>
        </r>
      </text>
    </comment>
    <comment ref="A50" authorId="2">
      <text>
        <r>
          <rPr>
            <sz val="8"/>
            <color indexed="81"/>
            <rFont val="Tahoma"/>
            <family val="2"/>
          </rPr>
          <t xml:space="preserve">Recoge los rubros del Formato de la Contraloría, que van desde el código 11201 hasta el 1120498.
</t>
        </r>
      </text>
    </comment>
    <comment ref="A57" authorId="2">
      <text>
        <r>
          <rPr>
            <sz val="8"/>
            <color indexed="81"/>
            <rFont val="Tahoma"/>
            <family val="2"/>
          </rPr>
          <t xml:space="preserve">Recoge los rubros del formato de la Contraloría que van desde 11205 hasta el 11205020498.
</t>
        </r>
      </text>
    </comment>
    <comment ref="A66" authorId="2">
      <text>
        <r>
          <rPr>
            <sz val="8"/>
            <color indexed="81"/>
            <rFont val="Tahoma"/>
            <family val="2"/>
          </rPr>
          <t xml:space="preserve">Sumatoria Subsidio Demanda y Subsidio Oferta (Formato CGR)
</t>
        </r>
      </text>
    </comment>
    <comment ref="A72" authorId="2">
      <text>
        <r>
          <rPr>
            <sz val="8"/>
            <color indexed="81"/>
            <rFont val="Tahoma"/>
            <family val="2"/>
          </rPr>
          <t xml:space="preserve">Estos rubros (alimentación Escolar y Municipios Ribereños) no aparecen discriminados en el formato de la Contraloría.
</t>
        </r>
      </text>
    </comment>
    <comment ref="A80" authorId="2">
      <text>
        <r>
          <rPr>
            <sz val="8"/>
            <color indexed="81"/>
            <rFont val="Tahoma"/>
            <family val="2"/>
          </rPr>
          <t xml:space="preserve">Este rubro en el Formato de la Contraloría, aparece como una participación.
</t>
        </r>
      </text>
    </comment>
    <comment ref="A89" authorId="2">
      <text>
        <r>
          <rPr>
            <sz val="8"/>
            <color indexed="81"/>
            <rFont val="Tahoma"/>
            <family val="2"/>
          </rPr>
          <t xml:space="preserve">El  formato de la Contraloría considera este rubro como ingreso corriente.
</t>
        </r>
      </text>
    </comment>
    <comment ref="A178" authorId="1">
      <text>
        <r>
          <rPr>
            <b/>
            <sz val="8"/>
            <color indexed="81"/>
            <rFont val="Tahoma"/>
            <family val="2"/>
          </rPr>
          <t>avalenzu:</t>
        </r>
        <r>
          <rPr>
            <sz val="8"/>
            <color indexed="81"/>
            <rFont val="Tahoma"/>
            <family val="2"/>
          </rPr>
          <t xml:space="preserve">
ESTA VERSION INCLUYE LOS SIGUIENTES ASPECTOS:
1.- APLICACIÓN ART. 49 LEY 863 DE 2003.
2.- PROYECCION DE LA CAPACIDAD DE PAGO (LEY 819/03) INDEXANDO EJECUCIONES
3.- ANALISIS DE INDICADORES LEY 617/00, LEY 358/97 Y LEY 819/03 EN LA HOJA DE BALANCE FINANCIERO.</t>
        </r>
      </text>
    </comment>
  </commentList>
</comments>
</file>

<file path=xl/comments13.xml><?xml version="1.0" encoding="utf-8"?>
<comments xmlns="http://schemas.openxmlformats.org/spreadsheetml/2006/main">
  <authors>
    <author>avalenzu</author>
    <author>Findeter S. A.</author>
  </authors>
  <commentList>
    <comment ref="E22" authorId="0">
      <text>
        <r>
          <rPr>
            <b/>
            <sz val="8"/>
            <color indexed="81"/>
            <rFont val="Tahoma"/>
            <family val="2"/>
          </rPr>
          <t>avalenzu:</t>
        </r>
        <r>
          <rPr>
            <sz val="8"/>
            <color indexed="81"/>
            <rFont val="Tahoma"/>
            <family val="2"/>
          </rPr>
          <t xml:space="preserve">
DIGITAR TODA LA INFORMACION EN MILLONES DE PESOS</t>
        </r>
      </text>
    </comment>
    <comment ref="M22" authorId="0">
      <text>
        <r>
          <rPr>
            <b/>
            <sz val="8"/>
            <color indexed="81"/>
            <rFont val="Tahoma"/>
            <family val="2"/>
          </rPr>
          <t>avalenzu:</t>
        </r>
        <r>
          <rPr>
            <sz val="8"/>
            <color indexed="81"/>
            <rFont val="Tahoma"/>
            <family val="2"/>
          </rPr>
          <t xml:space="preserve">
ESTA INFORMACION CORRESPONDE A LA EJECUCION DE GASTOS ACUMULADOS HASTA EL MISMO MES DEL AÑO ANTERIOR AL QUE SE REPORTA INFORMACION.</t>
        </r>
      </text>
    </comment>
    <comment ref="P22" authorId="0">
      <text>
        <r>
          <rPr>
            <b/>
            <sz val="8"/>
            <color indexed="81"/>
            <rFont val="Tahoma"/>
            <family val="2"/>
          </rPr>
          <t>avalenzu:</t>
        </r>
        <r>
          <rPr>
            <sz val="8"/>
            <color indexed="81"/>
            <rFont val="Tahoma"/>
            <family val="2"/>
          </rPr>
          <t xml:space="preserve">
DIGITAR EN MILLONES, LA  INFORMACION CORRESPONDE AL CIERRE DE LA VIGENCIA ANTERIOR PARA EFECTOS DEL ANALISIS DE LA CAPICIDAD DE PAGO</t>
        </r>
      </text>
    </comment>
    <comment ref="C53" authorId="0">
      <text>
        <r>
          <rPr>
            <b/>
            <sz val="8"/>
            <color indexed="81"/>
            <rFont val="Tahoma"/>
            <family val="2"/>
          </rPr>
          <t>avalenzu:</t>
        </r>
        <r>
          <rPr>
            <sz val="8"/>
            <color indexed="81"/>
            <rFont val="Tahoma"/>
            <family val="2"/>
          </rPr>
          <t xml:space="preserve">
REGISTRAR EL VALOR CORRESPONDIENTE A LA APLICACIÓN DEL ARTICULO 49 DE LA LEY 863/03, CETIFICADO POR EL DNP Y QUE EQUIVALE AL 10% DEL SGP - FORZOSA INVERSION CUANDO LA ENTIDAD NO ESTA EN LEY 550/99 Y AUN ESTANDO EN LEY 550/99 NO TIENE REORIENTADO EL 49% DE OTROS SECTORES.</t>
        </r>
      </text>
    </comment>
    <comment ref="C63" authorId="0">
      <text>
        <r>
          <rPr>
            <b/>
            <sz val="8"/>
            <color indexed="81"/>
            <rFont val="Tahoma"/>
            <family val="2"/>
          </rPr>
          <t>avalenzu:</t>
        </r>
        <r>
          <rPr>
            <sz val="8"/>
            <color indexed="81"/>
            <rFont val="Tahoma"/>
            <family val="2"/>
          </rPr>
          <t xml:space="preserve">
DIGITAR EN MILLONES EL VALOR DEL DEFICIT GENERADO POR LA ENTIDAD EN LEY 550/99, EL CUAL FUE GENERADO CON POSTERIORIDAD AL ACUERDO.</t>
        </r>
      </text>
    </comment>
    <comment ref="C71" authorId="0">
      <text>
        <r>
          <rPr>
            <b/>
            <sz val="8"/>
            <color indexed="81"/>
            <rFont val="Tahoma"/>
            <family val="2"/>
          </rPr>
          <t>avalenzu:</t>
        </r>
        <r>
          <rPr>
            <sz val="8"/>
            <color indexed="81"/>
            <rFont val="Tahoma"/>
            <family val="2"/>
          </rPr>
          <t xml:space="preserve">
ESTA INFORMACION CORRESPONDE AL DEFICIT DETERMINADO YA SEA EN LEY 617/00 O EN LEY 550/99.</t>
        </r>
      </text>
    </comment>
    <comment ref="C72" authorId="0">
      <text>
        <r>
          <rPr>
            <b/>
            <sz val="8"/>
            <color indexed="81"/>
            <rFont val="Tahoma"/>
            <family val="2"/>
          </rPr>
          <t>avalenzu:</t>
        </r>
        <r>
          <rPr>
            <sz val="8"/>
            <color indexed="81"/>
            <rFont val="Tahoma"/>
            <family val="2"/>
          </rPr>
          <t xml:space="preserve">
RECUERDE QUE ESTE DEFICIT  GENERADO POR LA ENTIDAD EN LEY 617/00, HACE PARTE DEL INDICADOR DE LEY, 
+++CUANDO LA ENTIDAD ESTA EN LEY 550/99, ESTE DEFICIT NO HACE PARTE DEL INDICADOR PERO SE DEBE REFERENCIAR LA INFORMACION.</t>
        </r>
      </text>
    </comment>
    <comment ref="C73" authorId="0">
      <text>
        <r>
          <rPr>
            <b/>
            <sz val="8"/>
            <color indexed="81"/>
            <rFont val="Tahoma"/>
            <family val="2"/>
          </rPr>
          <t>avalenzu:</t>
        </r>
        <r>
          <rPr>
            <sz val="8"/>
            <color indexed="81"/>
            <rFont val="Tahoma"/>
            <family val="2"/>
          </rPr>
          <t xml:space="preserve">
RECUERDE QUE ESTE DEFICIT NO HACE PARTE DEL INDICADOR DE LEY 617/00. YA SEA QUE LA ENTIDAD ESTE EN LEY 617/00 O EN LEY 550/99.</t>
        </r>
      </text>
    </comment>
    <comment ref="A77" authorId="1">
      <text>
        <r>
          <rPr>
            <sz val="8"/>
            <color indexed="81"/>
            <rFont val="Tahoma"/>
            <family val="2"/>
          </rPr>
          <t xml:space="preserve">corresponde a la suma de las siguientes variables del formato CGR: 2231001,2231004 
</t>
        </r>
      </text>
    </comment>
    <comment ref="A82" authorId="1">
      <text>
        <r>
          <rPr>
            <sz val="8"/>
            <color indexed="81"/>
            <rFont val="Tahoma"/>
            <family val="2"/>
          </rPr>
          <t xml:space="preserve">Corresponde a la suma de las siguientes variables del formato de la CGR: 231005;2231006;2231010;2231011;2231014;2231098
</t>
        </r>
      </text>
    </comment>
    <comment ref="J200" authorId="0">
      <text>
        <r>
          <rPr>
            <b/>
            <sz val="8"/>
            <color indexed="81"/>
            <rFont val="Tahoma"/>
            <family val="2"/>
          </rPr>
          <t>avalenzu:</t>
        </r>
        <r>
          <rPr>
            <sz val="8"/>
            <color indexed="81"/>
            <rFont val="Tahoma"/>
            <family val="2"/>
          </rPr>
          <t xml:space="preserve">
ESTE VALOR SE DEBE DIGITAR EN EL FORMATO DE PASIVO A CANCELAR Y DEUDA</t>
        </r>
      </text>
    </comment>
    <comment ref="K200" authorId="0">
      <text>
        <r>
          <rPr>
            <b/>
            <sz val="8"/>
            <color indexed="81"/>
            <rFont val="Tahoma"/>
            <family val="2"/>
          </rPr>
          <t>avalenzu:</t>
        </r>
        <r>
          <rPr>
            <sz val="8"/>
            <color indexed="81"/>
            <rFont val="Tahoma"/>
            <family val="2"/>
          </rPr>
          <t xml:space="preserve">
ESTE VALOR SE DEBE DIGITAR EN EL FORMATO DE PASIVO A CANCELAR Y DEUDA</t>
        </r>
      </text>
    </comment>
  </commentList>
</comments>
</file>

<file path=xl/comments2.xml><?xml version="1.0" encoding="utf-8"?>
<comments xmlns="http://schemas.openxmlformats.org/spreadsheetml/2006/main">
  <authors>
    <author>Julián Octavio Ruiz</author>
    <author>Un usuario de Microsoft Office satisfecho</author>
    <author>avalenzu</author>
  </authors>
  <commentList>
    <comment ref="M14" authorId="0">
      <text>
        <r>
          <rPr>
            <b/>
            <sz val="9"/>
            <color indexed="81"/>
            <rFont val="Tahoma"/>
            <family val="2"/>
          </rPr>
          <t>Julián Octavio Ruiz:</t>
        </r>
        <r>
          <rPr>
            <sz val="9"/>
            <color indexed="81"/>
            <rFont val="Tahoma"/>
            <family val="2"/>
          </rPr>
          <t xml:space="preserve">
20% ES PARA INVERSION LIBRE OTROS SECTORES</t>
        </r>
      </text>
    </comment>
    <comment ref="A16" authorId="1">
      <text>
        <r>
          <rPr>
            <sz val="8"/>
            <color indexed="81"/>
            <rFont val="Tahoma"/>
            <family val="2"/>
          </rPr>
          <t xml:space="preserve">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
</t>
        </r>
      </text>
    </comment>
    <comment ref="A20" authorId="1">
      <text>
        <r>
          <rPr>
            <sz val="8"/>
            <color indexed="81"/>
            <rFont val="Tahoma"/>
            <family val="2"/>
          </rPr>
          <t xml:space="preserve">En el formato de la Contraloría, este código corresponde al rubro Juegos de Suerte y Azar.   En la medida que la nominación legal es Rifas y Apuestas se utiliza este último nombre para el rubro.
</t>
        </r>
      </text>
    </comment>
    <comment ref="A25" authorId="1">
      <text>
        <r>
          <rPr>
            <sz val="8"/>
            <color indexed="81"/>
            <rFont val="Tahoma"/>
            <family val="2"/>
          </rPr>
          <t>La ley establece este tributo como un impuesto.   Por esta razón no se sigue la clasificación de la Contraloría que lo ubica como una tasa.</t>
        </r>
      </text>
    </comment>
    <comment ref="A26" authorId="1">
      <text>
        <r>
          <rPr>
            <sz val="8"/>
            <color indexed="81"/>
            <rFont val="Tahoma"/>
            <family val="2"/>
          </rPr>
          <t>En el formato de la Contraloría, este rubro aparece como una participación del nivel central nacional.</t>
        </r>
      </text>
    </comment>
    <comment ref="A35" authorId="1">
      <text>
        <r>
          <rPr>
            <sz val="8"/>
            <color indexed="81"/>
            <rFont val="Tahoma"/>
            <family val="2"/>
          </rPr>
          <t xml:space="preserve">Recoge los rubros del Formato de la Contraloría, que van desde el código 11201 hasta el 1120498.
</t>
        </r>
      </text>
    </comment>
    <comment ref="A42" authorId="1">
      <text>
        <r>
          <rPr>
            <sz val="8"/>
            <color indexed="81"/>
            <rFont val="Tahoma"/>
            <family val="2"/>
          </rPr>
          <t xml:space="preserve">Recoge los rubros del formato de la Contraloría que van desde 11205 hasta el 11205020498.
</t>
        </r>
      </text>
    </comment>
    <comment ref="A53" authorId="1">
      <text>
        <r>
          <rPr>
            <sz val="8"/>
            <color indexed="81"/>
            <rFont val="Tahoma"/>
            <family val="2"/>
          </rPr>
          <t xml:space="preserve">Sumatoria Subsidio Demanda y Subsidio Oferta (Formato CGR)
</t>
        </r>
      </text>
    </comment>
    <comment ref="A64" authorId="1">
      <text>
        <r>
          <rPr>
            <sz val="8"/>
            <color indexed="81"/>
            <rFont val="Tahoma"/>
            <family val="2"/>
          </rPr>
          <t xml:space="preserve">Estos rubros (alimentación Escolar y Municipios Ribereños) no aparecen discriminados en el formato de la Contraloría.
</t>
        </r>
      </text>
    </comment>
    <comment ref="M64" authorId="0">
      <text>
        <r>
          <rPr>
            <b/>
            <sz val="9"/>
            <color indexed="81"/>
            <rFont val="Tahoma"/>
            <family val="2"/>
          </rPr>
          <t>Julián Octavio Ruiz:</t>
        </r>
        <r>
          <rPr>
            <sz val="9"/>
            <color indexed="81"/>
            <rFont val="Tahoma"/>
            <family val="2"/>
          </rPr>
          <t xml:space="preserve">
SGP</t>
        </r>
      </text>
    </comment>
    <comment ref="M68" authorId="0">
      <text>
        <r>
          <rPr>
            <b/>
            <sz val="9"/>
            <color indexed="81"/>
            <rFont val="Tahoma"/>
            <family val="2"/>
          </rPr>
          <t>Julián Octavio Ruiz:</t>
        </r>
        <r>
          <rPr>
            <sz val="9"/>
            <color indexed="81"/>
            <rFont val="Tahoma"/>
            <family val="2"/>
          </rPr>
          <t xml:space="preserve">
OTROS</t>
        </r>
      </text>
    </comment>
    <comment ref="A72" authorId="1">
      <text>
        <r>
          <rPr>
            <sz val="8"/>
            <color indexed="81"/>
            <rFont val="Tahoma"/>
            <family val="2"/>
          </rPr>
          <t xml:space="preserve">Este rubro en el Formato de la Contraloría, aparece como una participación.
</t>
        </r>
      </text>
    </comment>
    <comment ref="A81" authorId="1">
      <text>
        <r>
          <rPr>
            <sz val="8"/>
            <color indexed="81"/>
            <rFont val="Tahoma"/>
            <family val="2"/>
          </rPr>
          <t xml:space="preserve">El  formato de la Contraloría considera este rubro como ingreso corriente.
</t>
        </r>
      </text>
    </comment>
    <comment ref="C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D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E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F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G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H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I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J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K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L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M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N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O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P165" authorId="2">
      <text>
        <r>
          <rPr>
            <b/>
            <sz val="8"/>
            <color indexed="81"/>
            <rFont val="Tahoma"/>
            <family val="2"/>
          </rPr>
          <t>avalenzu:</t>
        </r>
        <r>
          <rPr>
            <sz val="8"/>
            <color indexed="81"/>
            <rFont val="Tahoma"/>
            <family val="2"/>
          </rPr>
          <t xml:space="preserve">
DIGITAR EN MILLONES, EL VALOR QUE CORRESPONDA A LA PARTE DEL AHORRO DE ICLD QUE SE DESTINA AL FONDO DE CONTINGENCIAS.</t>
        </r>
      </text>
    </comment>
    <comment ref="C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D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E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F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G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H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I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J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K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L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M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N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O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 ref="P166" authorId="2">
      <text>
        <r>
          <rPr>
            <b/>
            <sz val="8"/>
            <color indexed="81"/>
            <rFont val="Tahoma"/>
            <family val="2"/>
          </rPr>
          <t>avalenzu:</t>
        </r>
        <r>
          <rPr>
            <sz val="8"/>
            <color indexed="81"/>
            <rFont val="Tahoma"/>
            <family val="2"/>
          </rPr>
          <t xml:space="preserve">
DIGITAR EN MILLONES, EL VALOR QUE CORRESPONDA A LA PARTE DE LAS RENTAS REORIENTADAS QUE SE DESTINA AL FONDO DE CONTINGENCIAS.</t>
        </r>
      </text>
    </comment>
  </commentList>
</comments>
</file>

<file path=xl/comments3.xml><?xml version="1.0" encoding="utf-8"?>
<comments xmlns="http://schemas.openxmlformats.org/spreadsheetml/2006/main">
  <authors>
    <author>avalenzu</author>
    <author>Findeter S. A.</author>
  </authors>
  <commentList>
    <comment ref="B36" authorId="0">
      <text>
        <r>
          <rPr>
            <b/>
            <sz val="8"/>
            <color indexed="81"/>
            <rFont val="Tahoma"/>
            <family val="2"/>
          </rPr>
          <t>avalenzu:</t>
        </r>
        <r>
          <rPr>
            <sz val="8"/>
            <color indexed="81"/>
            <rFont val="Tahoma"/>
            <family val="2"/>
          </rPr>
          <t xml:space="preserve">
PROYECTAR EL VALOR CORRESPONDIENTE A LA APLICACIÓN DEL ARTICULO 49 DE LA LEY 863/03, TOMANDO COMO BASE EL VALOR CETIFICADO POR EL DNP Y QUE EQUIVALE AL 10% DEL SGP - FORZOSA INVERSION CUANDO LA ENTIDAD NO ESTA EN LEY 550/99 Y AUN ESTANDO EN LEY 550/99 NO TIENE REORIENTADO EL 49% DE OTROS SECTORES.</t>
        </r>
      </text>
    </comment>
    <comment ref="A58" authorId="1">
      <text>
        <r>
          <rPr>
            <sz val="8"/>
            <color indexed="81"/>
            <rFont val="Tahoma"/>
            <family val="2"/>
          </rPr>
          <t xml:space="preserve">corresponde a la suma de las siguientes variables del formato CGR: 2231001,2231004 
</t>
        </r>
      </text>
    </comment>
    <comment ref="A63" authorId="1">
      <text>
        <r>
          <rPr>
            <sz val="8"/>
            <color indexed="81"/>
            <rFont val="Tahoma"/>
            <family val="2"/>
          </rPr>
          <t xml:space="preserve">Corresponde a la suma de las siguientes variables del formato de la CGR: 231005;2231006;2231010;2231011;2231014;2231098
</t>
        </r>
      </text>
    </comment>
  </commentList>
</comments>
</file>

<file path=xl/comments4.xml><?xml version="1.0" encoding="utf-8"?>
<comments xmlns="http://schemas.openxmlformats.org/spreadsheetml/2006/main">
  <authors>
    <author>avalenzu</author>
    <author>Un usuario de Microsoft Office satisfecho</author>
  </authors>
  <commentList>
    <comment ref="G8" authorId="0">
      <text>
        <r>
          <rPr>
            <b/>
            <sz val="8"/>
            <color indexed="81"/>
            <rFont val="Tahoma"/>
            <family val="2"/>
          </rPr>
          <t>avalenzu:</t>
        </r>
        <r>
          <rPr>
            <sz val="8"/>
            <color indexed="81"/>
            <rFont val="Tahoma"/>
            <family val="2"/>
          </rPr>
          <t xml:space="preserve">
DIGITAR LOS PORCENTAJES DE DESTINACION ESPECIFICA QUE TIENE CADA RENTA</t>
        </r>
      </text>
    </comment>
    <comment ref="A25" authorId="1">
      <text>
        <r>
          <rPr>
            <sz val="8"/>
            <color indexed="81"/>
            <rFont val="Tahoma"/>
            <family val="2"/>
          </rPr>
          <t xml:space="preserve">Sumatoria de Otros Impuestos Directos, Otros Impuestos Indirectos, Impuesto Ocupación de Vías, Impuesto de Extracción de Materiales, Impuesto de Pesas y Medidas e Impuesto de Registro Marcas y Herretes (Formato CGR).
</t>
        </r>
      </text>
    </comment>
    <comment ref="A29" authorId="1">
      <text>
        <r>
          <rPr>
            <sz val="8"/>
            <color indexed="81"/>
            <rFont val="Tahoma"/>
            <family val="2"/>
          </rPr>
          <t xml:space="preserve">Sumatoria de Otras Tasas y Multas y Otras Contribuciones (Formato CGR)       
</t>
        </r>
      </text>
    </comment>
  </commentList>
</comments>
</file>

<file path=xl/comments5.xml><?xml version="1.0" encoding="utf-8"?>
<comments xmlns="http://schemas.openxmlformats.org/spreadsheetml/2006/main">
  <authors>
    <author>avalenzu</author>
  </authors>
  <commentList>
    <comment ref="D8" authorId="0">
      <text>
        <r>
          <rPr>
            <b/>
            <sz val="10"/>
            <color indexed="81"/>
            <rFont val="Tahoma"/>
            <family val="2"/>
          </rPr>
          <t>avalenzu:</t>
        </r>
        <r>
          <rPr>
            <sz val="10"/>
            <color indexed="81"/>
            <rFont val="Tahoma"/>
            <family val="2"/>
          </rPr>
          <t xml:space="preserve">
SE CONSIDERA QUE LA VIGENCIA ACTUAL CORRESPONDE AL AÑO 1  DE LA PROYECCION</t>
        </r>
      </text>
    </comment>
    <comment ref="G8" authorId="0">
      <text>
        <r>
          <rPr>
            <b/>
            <sz val="10"/>
            <color indexed="81"/>
            <rFont val="Tahoma"/>
            <family val="2"/>
          </rPr>
          <t>avalenzu:</t>
        </r>
        <r>
          <rPr>
            <sz val="10"/>
            <color indexed="81"/>
            <rFont val="Tahoma"/>
            <family val="2"/>
          </rPr>
          <t xml:space="preserve">
SE CONSIDERA QUE LA VIGENCIA ACTUAL CORRESPONDE AL AÑO 1  DE LA PROYECCION</t>
        </r>
      </text>
    </comment>
    <comment ref="E13" authorId="0">
      <text>
        <r>
          <rPr>
            <b/>
            <sz val="8"/>
            <color indexed="81"/>
            <rFont val="Tahoma"/>
            <family val="2"/>
          </rPr>
          <t>avalenzu:</t>
        </r>
        <r>
          <rPr>
            <sz val="8"/>
            <color indexed="81"/>
            <rFont val="Tahoma"/>
            <family val="2"/>
          </rPr>
          <t xml:space="preserve">
DESCUENTA EL VALOR INDEXADO DE LA TRANSFERENCIA AL FONPET (ART. 49 LEY 863/03).</t>
        </r>
      </text>
    </comment>
    <comment ref="E19" authorId="0">
      <text>
        <r>
          <rPr>
            <b/>
            <sz val="8"/>
            <color indexed="81"/>
            <rFont val="Tahoma"/>
            <family val="2"/>
          </rPr>
          <t>avalenzu:</t>
        </r>
        <r>
          <rPr>
            <sz val="8"/>
            <color indexed="81"/>
            <rFont val="Tahoma"/>
            <family val="2"/>
          </rPr>
          <t xml:space="preserve">
DESCUENTA EL VALOR INDEXADO DE LA TRANSFERENCIA AL FONPET (ART. 49 LEY 863/03).</t>
        </r>
      </text>
    </comment>
    <comment ref="C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D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G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H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I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J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K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L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M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N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O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P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Q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R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S23" authorId="0">
      <text>
        <r>
          <rPr>
            <b/>
            <sz val="8"/>
            <color indexed="81"/>
            <rFont val="Tahoma"/>
            <family val="2"/>
          </rPr>
          <t>avalenzu:</t>
        </r>
        <r>
          <rPr>
            <sz val="8"/>
            <color indexed="81"/>
            <rFont val="Tahoma"/>
            <family val="2"/>
          </rPr>
          <t xml:space="preserve">
VERIFICAR QUE LA INFLACION ESPERADA QUE ESTA DIGITADA EN ESTE CAMPO, CORRESPONDA A LOS SUPUESTOS OFICIALES MFMP (DIRECCION MACREOECONOMICA DEL MINHACIENDA PARA LA VIGENCIA DE ANALISIS).</t>
        </r>
      </text>
    </comment>
    <comment ref="D26" authorId="0">
      <text>
        <r>
          <rPr>
            <b/>
            <sz val="9"/>
            <color indexed="81"/>
            <rFont val="Tahoma"/>
            <family val="2"/>
          </rPr>
          <t>avalenzu:</t>
        </r>
        <r>
          <rPr>
            <sz val="9"/>
            <color indexed="81"/>
            <rFont val="Tahoma"/>
            <family val="2"/>
          </rPr>
          <t xml:space="preserve">
DIGITAR EN MILLONES EL VALOR DEL SALDO DE LA DEUDA A DICIEMBRE DEL AÑO ANTERIOR.</t>
        </r>
      </text>
    </comment>
    <comment ref="D27" authorId="0">
      <text>
        <r>
          <rPr>
            <b/>
            <sz val="9"/>
            <color indexed="81"/>
            <rFont val="Tahoma"/>
            <family val="2"/>
          </rPr>
          <t>avalenzu:</t>
        </r>
        <r>
          <rPr>
            <sz val="9"/>
            <color indexed="81"/>
            <rFont val="Tahoma"/>
            <family val="2"/>
          </rPr>
          <t xml:space="preserve">
DIGITAR EN MILLONES EL VALOR DE LOS DESEMBOLSOS DE CREDITOS YA CONTRATADOS Y QUE ESTAN PROGRAMADOS PARA  ESTA VIGENCIA .</t>
        </r>
      </text>
    </comment>
    <comment ref="G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H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I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J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K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L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M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N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O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P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Q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R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S27"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family val="2"/>
          </rPr>
          <t>.</t>
        </r>
      </text>
    </comment>
    <comment ref="D31" authorId="0">
      <text>
        <r>
          <rPr>
            <b/>
            <sz val="9"/>
            <color indexed="81"/>
            <rFont val="Tahoma"/>
            <family val="2"/>
          </rPr>
          <t>avalenzu:</t>
        </r>
        <r>
          <rPr>
            <sz val="9"/>
            <color indexed="81"/>
            <rFont val="Tahoma"/>
            <family val="2"/>
          </rPr>
          <t xml:space="preserve">
DIGITAR EN MILLONES EL VALOR DE LAS AMORTIZACIONES PAGADAS ENTRE ENERO Y HASTA LA FECHA DE ANALISIS.</t>
        </r>
      </text>
    </comment>
    <comment ref="G31" authorId="0">
      <text>
        <r>
          <rPr>
            <b/>
            <sz val="10"/>
            <color indexed="81"/>
            <rFont val="Tahoma"/>
            <family val="2"/>
          </rPr>
          <t>avalenzu:</t>
        </r>
        <r>
          <rPr>
            <sz val="10"/>
            <color indexed="81"/>
            <rFont val="Tahoma"/>
            <family val="2"/>
          </rPr>
          <t xml:space="preserve">
DIGITAR EN MILLONES EL VALOR PROYECTADO DE LAS AMORTIZACIONES</t>
        </r>
      </text>
    </comment>
    <comment ref="H31" authorId="0">
      <text>
        <r>
          <rPr>
            <b/>
            <sz val="10"/>
            <color indexed="81"/>
            <rFont val="Tahoma"/>
            <family val="2"/>
          </rPr>
          <t>avalenzu:</t>
        </r>
        <r>
          <rPr>
            <sz val="10"/>
            <color indexed="81"/>
            <rFont val="Tahoma"/>
            <family val="2"/>
          </rPr>
          <t xml:space="preserve">
DIGITAR EN MILLONES EL VALOR PROYECTADO DE LAS AMORTIZACIONES</t>
        </r>
      </text>
    </comment>
    <comment ref="I31" authorId="0">
      <text>
        <r>
          <rPr>
            <b/>
            <sz val="10"/>
            <color indexed="81"/>
            <rFont val="Tahoma"/>
            <family val="2"/>
          </rPr>
          <t>avalenzu:</t>
        </r>
        <r>
          <rPr>
            <sz val="10"/>
            <color indexed="81"/>
            <rFont val="Tahoma"/>
            <family val="2"/>
          </rPr>
          <t xml:space="preserve">
DIGITAR EN MILLONES EL VALOR PROYECTADO DE LAS AMORTIZACIONES</t>
        </r>
      </text>
    </comment>
    <comment ref="J31" authorId="0">
      <text>
        <r>
          <rPr>
            <b/>
            <sz val="10"/>
            <color indexed="81"/>
            <rFont val="Tahoma"/>
            <family val="2"/>
          </rPr>
          <t>avalenzu:</t>
        </r>
        <r>
          <rPr>
            <sz val="10"/>
            <color indexed="81"/>
            <rFont val="Tahoma"/>
            <family val="2"/>
          </rPr>
          <t xml:space="preserve">
DIGITAR EN MILLONES EL VALOR PROYECTADO DE LAS AMORTIZACIONES</t>
        </r>
      </text>
    </comment>
    <comment ref="K31" authorId="0">
      <text>
        <r>
          <rPr>
            <b/>
            <sz val="10"/>
            <color indexed="81"/>
            <rFont val="Tahoma"/>
            <family val="2"/>
          </rPr>
          <t>avalenzu:</t>
        </r>
        <r>
          <rPr>
            <sz val="10"/>
            <color indexed="81"/>
            <rFont val="Tahoma"/>
            <family val="2"/>
          </rPr>
          <t xml:space="preserve">
DIGITAR EN MILLONES EL VALOR PROYECTADO DE LAS AMORTIZACIONES</t>
        </r>
      </text>
    </comment>
    <comment ref="L31" authorId="0">
      <text>
        <r>
          <rPr>
            <b/>
            <sz val="10"/>
            <color indexed="81"/>
            <rFont val="Tahoma"/>
            <family val="2"/>
          </rPr>
          <t>avalenzu:</t>
        </r>
        <r>
          <rPr>
            <sz val="10"/>
            <color indexed="81"/>
            <rFont val="Tahoma"/>
            <family val="2"/>
          </rPr>
          <t xml:space="preserve">
DIGITAR EN MILLONES EL VALOR PROYECTADO DE LAS AMORTIZACIONES</t>
        </r>
      </text>
    </comment>
    <comment ref="M31" authorId="0">
      <text>
        <r>
          <rPr>
            <b/>
            <sz val="10"/>
            <color indexed="81"/>
            <rFont val="Tahoma"/>
            <family val="2"/>
          </rPr>
          <t>avalenzu:</t>
        </r>
        <r>
          <rPr>
            <sz val="10"/>
            <color indexed="81"/>
            <rFont val="Tahoma"/>
            <family val="2"/>
          </rPr>
          <t xml:space="preserve">
DIGITAR EN MILLONES EL VALOR PROYECTADO DE LAS AMORTIZACIONES</t>
        </r>
      </text>
    </comment>
    <comment ref="N31" authorId="0">
      <text>
        <r>
          <rPr>
            <b/>
            <sz val="10"/>
            <color indexed="81"/>
            <rFont val="Tahoma"/>
            <family val="2"/>
          </rPr>
          <t>avalenzu:</t>
        </r>
        <r>
          <rPr>
            <sz val="10"/>
            <color indexed="81"/>
            <rFont val="Tahoma"/>
            <family val="2"/>
          </rPr>
          <t xml:space="preserve">
DIGITAR EN MILLONES EL VALOR PROYECTADO DE LAS AMORTIZACIONES</t>
        </r>
      </text>
    </comment>
    <comment ref="O31" authorId="0">
      <text>
        <r>
          <rPr>
            <b/>
            <sz val="10"/>
            <color indexed="81"/>
            <rFont val="Tahoma"/>
            <family val="2"/>
          </rPr>
          <t>avalenzu:</t>
        </r>
        <r>
          <rPr>
            <sz val="10"/>
            <color indexed="81"/>
            <rFont val="Tahoma"/>
            <family val="2"/>
          </rPr>
          <t xml:space="preserve">
DIGITAR EN MILLONES EL VALOR PROYECTADO DE LAS AMORTIZACIONES</t>
        </r>
      </text>
    </comment>
    <comment ref="P31" authorId="0">
      <text>
        <r>
          <rPr>
            <b/>
            <sz val="10"/>
            <color indexed="81"/>
            <rFont val="Tahoma"/>
            <family val="2"/>
          </rPr>
          <t>avalenzu:</t>
        </r>
        <r>
          <rPr>
            <sz val="10"/>
            <color indexed="81"/>
            <rFont val="Tahoma"/>
            <family val="2"/>
          </rPr>
          <t xml:space="preserve">
DIGITAR EN MILLONES EL VALOR PROYECTADO DE LAS AMORTIZACIONES</t>
        </r>
      </text>
    </comment>
    <comment ref="Q31" authorId="0">
      <text>
        <r>
          <rPr>
            <b/>
            <sz val="10"/>
            <color indexed="81"/>
            <rFont val="Tahoma"/>
            <family val="2"/>
          </rPr>
          <t>avalenzu:</t>
        </r>
        <r>
          <rPr>
            <sz val="10"/>
            <color indexed="81"/>
            <rFont val="Tahoma"/>
            <family val="2"/>
          </rPr>
          <t xml:space="preserve">
DIGITAR EN MILLONES EL VALOR PROYECTADO DE LAS AMORTIZACIONES</t>
        </r>
      </text>
    </comment>
    <comment ref="R31" authorId="0">
      <text>
        <r>
          <rPr>
            <b/>
            <sz val="10"/>
            <color indexed="81"/>
            <rFont val="Tahoma"/>
            <family val="2"/>
          </rPr>
          <t>avalenzu:</t>
        </r>
        <r>
          <rPr>
            <sz val="10"/>
            <color indexed="81"/>
            <rFont val="Tahoma"/>
            <family val="2"/>
          </rPr>
          <t xml:space="preserve">
DIGITAR EN MILLONES EL VALOR PROYECTADO DE LAS AMORTIZACIONES</t>
        </r>
      </text>
    </comment>
    <comment ref="S31" authorId="0">
      <text>
        <r>
          <rPr>
            <b/>
            <sz val="10"/>
            <color indexed="81"/>
            <rFont val="Tahoma"/>
            <family val="2"/>
          </rPr>
          <t>avalenzu:</t>
        </r>
        <r>
          <rPr>
            <sz val="10"/>
            <color indexed="81"/>
            <rFont val="Tahoma"/>
            <family val="2"/>
          </rPr>
          <t xml:space="preserve">
DIGITAR EN MILLONES EL VALOR PROYECTADO DE LAS AMORTIZACIONES</t>
        </r>
      </text>
    </comment>
    <comment ref="D32" authorId="0">
      <text>
        <r>
          <rPr>
            <b/>
            <sz val="9"/>
            <color indexed="81"/>
            <rFont val="Tahoma"/>
            <family val="2"/>
          </rPr>
          <t>avalenzu:</t>
        </r>
        <r>
          <rPr>
            <sz val="9"/>
            <color indexed="81"/>
            <rFont val="Tahoma"/>
            <family val="2"/>
          </rPr>
          <t xml:space="preserve">
DIGITAR EN MILLONES EL VALOR DE LAS AMORTIZACIONES POR PAGAR EN EL RESTO DE LA VIGENCIA.</t>
        </r>
      </text>
    </comment>
    <comment ref="G32" authorId="0">
      <text>
        <r>
          <rPr>
            <b/>
            <sz val="10"/>
            <color indexed="81"/>
            <rFont val="Tahoma"/>
            <family val="2"/>
          </rPr>
          <t>avalenzu:</t>
        </r>
        <r>
          <rPr>
            <sz val="10"/>
            <color indexed="81"/>
            <rFont val="Tahoma"/>
            <family val="2"/>
          </rPr>
          <t xml:space="preserve">
DIGITAR EN MILLONES EL VALOR PROYECTADO DE LAS AMORTIZACIONES</t>
        </r>
      </text>
    </comment>
    <comment ref="H32" authorId="0">
      <text>
        <r>
          <rPr>
            <b/>
            <sz val="10"/>
            <color indexed="81"/>
            <rFont val="Tahoma"/>
            <family val="2"/>
          </rPr>
          <t>avalenzu:</t>
        </r>
        <r>
          <rPr>
            <sz val="10"/>
            <color indexed="81"/>
            <rFont val="Tahoma"/>
            <family val="2"/>
          </rPr>
          <t xml:space="preserve">
DIGITAR EN MILLONES EL VALOR PROYECTADO DE LAS AMORTIZACIONES</t>
        </r>
      </text>
    </comment>
    <comment ref="I32" authorId="0">
      <text>
        <r>
          <rPr>
            <b/>
            <sz val="10"/>
            <color indexed="81"/>
            <rFont val="Tahoma"/>
            <family val="2"/>
          </rPr>
          <t>avalenzu:</t>
        </r>
        <r>
          <rPr>
            <sz val="10"/>
            <color indexed="81"/>
            <rFont val="Tahoma"/>
            <family val="2"/>
          </rPr>
          <t xml:space="preserve">
DIGITAR EN MILLONES EL VALOR PROYECTADO DE LAS AMORTIZACIONES</t>
        </r>
      </text>
    </comment>
    <comment ref="J32" authorId="0">
      <text>
        <r>
          <rPr>
            <b/>
            <sz val="10"/>
            <color indexed="81"/>
            <rFont val="Tahoma"/>
            <family val="2"/>
          </rPr>
          <t>avalenzu:</t>
        </r>
        <r>
          <rPr>
            <sz val="10"/>
            <color indexed="81"/>
            <rFont val="Tahoma"/>
            <family val="2"/>
          </rPr>
          <t xml:space="preserve">
DIGITAR EN MILLONES EL VALOR PROYECTADO DE LAS AMORTIZACIONES</t>
        </r>
      </text>
    </comment>
    <comment ref="K32" authorId="0">
      <text>
        <r>
          <rPr>
            <b/>
            <sz val="10"/>
            <color indexed="81"/>
            <rFont val="Tahoma"/>
            <family val="2"/>
          </rPr>
          <t>avalenzu:</t>
        </r>
        <r>
          <rPr>
            <sz val="10"/>
            <color indexed="81"/>
            <rFont val="Tahoma"/>
            <family val="2"/>
          </rPr>
          <t xml:space="preserve">
DIGITAR EN MILLONES EL VALOR PROYECTADO DE LAS AMORTIZACIONES</t>
        </r>
      </text>
    </comment>
    <comment ref="L32" authorId="0">
      <text>
        <r>
          <rPr>
            <b/>
            <sz val="10"/>
            <color indexed="81"/>
            <rFont val="Tahoma"/>
            <family val="2"/>
          </rPr>
          <t>avalenzu:</t>
        </r>
        <r>
          <rPr>
            <sz val="10"/>
            <color indexed="81"/>
            <rFont val="Tahoma"/>
            <family val="2"/>
          </rPr>
          <t xml:space="preserve">
DIGITAR EN MILLONES EL VALOR PROYECTADO DE LAS AMORTIZACIONES</t>
        </r>
      </text>
    </comment>
    <comment ref="M32" authorId="0">
      <text>
        <r>
          <rPr>
            <b/>
            <sz val="10"/>
            <color indexed="81"/>
            <rFont val="Tahoma"/>
            <family val="2"/>
          </rPr>
          <t>avalenzu:</t>
        </r>
        <r>
          <rPr>
            <sz val="10"/>
            <color indexed="81"/>
            <rFont val="Tahoma"/>
            <family val="2"/>
          </rPr>
          <t xml:space="preserve">
DIGITAR EN MILLONES EL VALOR PROYECTADO DE LAS AMORTIZACIONES</t>
        </r>
      </text>
    </comment>
    <comment ref="N32" authorId="0">
      <text>
        <r>
          <rPr>
            <b/>
            <sz val="10"/>
            <color indexed="81"/>
            <rFont val="Tahoma"/>
            <family val="2"/>
          </rPr>
          <t>avalenzu:</t>
        </r>
        <r>
          <rPr>
            <sz val="10"/>
            <color indexed="81"/>
            <rFont val="Tahoma"/>
            <family val="2"/>
          </rPr>
          <t xml:space="preserve">
DIGITAR EN MILLONES EL VALOR PROYECTADO DE LAS AMORTIZACIONES</t>
        </r>
      </text>
    </comment>
    <comment ref="O32" authorId="0">
      <text>
        <r>
          <rPr>
            <b/>
            <sz val="10"/>
            <color indexed="81"/>
            <rFont val="Tahoma"/>
            <family val="2"/>
          </rPr>
          <t>avalenzu:</t>
        </r>
        <r>
          <rPr>
            <sz val="10"/>
            <color indexed="81"/>
            <rFont val="Tahoma"/>
            <family val="2"/>
          </rPr>
          <t xml:space="preserve">
DIGITAR EN MILLONES EL VALOR PROYECTADO DE LAS AMORTIZACIONES</t>
        </r>
      </text>
    </comment>
    <comment ref="P32" authorId="0">
      <text>
        <r>
          <rPr>
            <b/>
            <sz val="10"/>
            <color indexed="81"/>
            <rFont val="Tahoma"/>
            <family val="2"/>
          </rPr>
          <t>avalenzu:</t>
        </r>
        <r>
          <rPr>
            <sz val="10"/>
            <color indexed="81"/>
            <rFont val="Tahoma"/>
            <family val="2"/>
          </rPr>
          <t xml:space="preserve">
DIGITAR EN MILLONES EL VALOR PROYECTADO DE LAS AMORTIZACIONES</t>
        </r>
      </text>
    </comment>
    <comment ref="Q32" authorId="0">
      <text>
        <r>
          <rPr>
            <b/>
            <sz val="10"/>
            <color indexed="81"/>
            <rFont val="Tahoma"/>
            <family val="2"/>
          </rPr>
          <t>avalenzu:</t>
        </r>
        <r>
          <rPr>
            <sz val="10"/>
            <color indexed="81"/>
            <rFont val="Tahoma"/>
            <family val="2"/>
          </rPr>
          <t xml:space="preserve">
DIGITAR EN MILLONES EL VALOR PROYECTADO DE LAS AMORTIZACIONES</t>
        </r>
      </text>
    </comment>
    <comment ref="R32" authorId="0">
      <text>
        <r>
          <rPr>
            <b/>
            <sz val="10"/>
            <color indexed="81"/>
            <rFont val="Tahoma"/>
            <family val="2"/>
          </rPr>
          <t>avalenzu:</t>
        </r>
        <r>
          <rPr>
            <sz val="10"/>
            <color indexed="81"/>
            <rFont val="Tahoma"/>
            <family val="2"/>
          </rPr>
          <t xml:space="preserve">
DIGITAR EN MILLONES EL VALOR PROYECTADO DE LAS AMORTIZACIONES</t>
        </r>
      </text>
    </comment>
    <comment ref="S32" authorId="0">
      <text>
        <r>
          <rPr>
            <b/>
            <sz val="10"/>
            <color indexed="81"/>
            <rFont val="Tahoma"/>
            <family val="2"/>
          </rPr>
          <t>avalenzu:</t>
        </r>
        <r>
          <rPr>
            <sz val="10"/>
            <color indexed="81"/>
            <rFont val="Tahoma"/>
            <family val="2"/>
          </rPr>
          <t xml:space="preserve">
DIGITAR EN MILLONES EL VALOR PROYECTADO DE LAS AMORTIZACIONES</t>
        </r>
      </text>
    </comment>
    <comment ref="D34" authorId="0">
      <text>
        <r>
          <rPr>
            <b/>
            <sz val="9"/>
            <color indexed="81"/>
            <rFont val="Tahoma"/>
            <family val="2"/>
          </rPr>
          <t>avalenzu:</t>
        </r>
        <r>
          <rPr>
            <sz val="9"/>
            <color indexed="81"/>
            <rFont val="Tahoma"/>
            <family val="2"/>
          </rPr>
          <t xml:space="preserve">
DIGITAR EN MILLONES EL VALOR DE LOS INTERESES PAGADOS ENTRE ENERO Y HASTA LA FECHA DE ANALISIS.</t>
        </r>
      </text>
    </comment>
    <comment ref="D35" authorId="0">
      <text>
        <r>
          <rPr>
            <b/>
            <sz val="9"/>
            <color indexed="81"/>
            <rFont val="Tahoma"/>
            <family val="2"/>
          </rPr>
          <t>avalenzu:</t>
        </r>
        <r>
          <rPr>
            <sz val="9"/>
            <color indexed="81"/>
            <rFont val="Tahoma"/>
            <family val="2"/>
          </rPr>
          <t xml:space="preserve">
DIGITAR EN MILLONES EL VALOR DE LOS INTERESES POR PAGAR EN EL RESTO DE LA VIGENCIA.</t>
        </r>
      </text>
    </comment>
    <comment ref="G35" authorId="0">
      <text>
        <r>
          <rPr>
            <b/>
            <sz val="10"/>
            <color indexed="81"/>
            <rFont val="Tahoma"/>
            <family val="2"/>
          </rPr>
          <t>avalenzu:</t>
        </r>
        <r>
          <rPr>
            <sz val="10"/>
            <color indexed="81"/>
            <rFont val="Tahoma"/>
            <family val="2"/>
          </rPr>
          <t xml:space="preserve">
DIGITAR EN MILLONES EL VALOR PROYECTADO DE LOS INTERESES</t>
        </r>
      </text>
    </comment>
    <comment ref="H35" authorId="0">
      <text>
        <r>
          <rPr>
            <b/>
            <sz val="10"/>
            <color indexed="81"/>
            <rFont val="Tahoma"/>
            <family val="2"/>
          </rPr>
          <t>avalenzu:</t>
        </r>
        <r>
          <rPr>
            <sz val="10"/>
            <color indexed="81"/>
            <rFont val="Tahoma"/>
            <family val="2"/>
          </rPr>
          <t xml:space="preserve">
DIGITAR EN MILLONES EL VALOR PROYECTADO DE LOS INTERESES</t>
        </r>
      </text>
    </comment>
    <comment ref="I35" authorId="0">
      <text>
        <r>
          <rPr>
            <b/>
            <sz val="10"/>
            <color indexed="81"/>
            <rFont val="Tahoma"/>
            <family val="2"/>
          </rPr>
          <t>avalenzu:</t>
        </r>
        <r>
          <rPr>
            <sz val="10"/>
            <color indexed="81"/>
            <rFont val="Tahoma"/>
            <family val="2"/>
          </rPr>
          <t xml:space="preserve">
DIGITAR EN MILLONES EL VALOR PROYECTADO DE LOS INTERESES</t>
        </r>
      </text>
    </comment>
    <comment ref="J35" authorId="0">
      <text>
        <r>
          <rPr>
            <b/>
            <sz val="10"/>
            <color indexed="81"/>
            <rFont val="Tahoma"/>
            <family val="2"/>
          </rPr>
          <t>avalenzu:</t>
        </r>
        <r>
          <rPr>
            <sz val="10"/>
            <color indexed="81"/>
            <rFont val="Tahoma"/>
            <family val="2"/>
          </rPr>
          <t xml:space="preserve">
DIGITAR EN MILLONES EL VALOR PROYECTADO DE LOS INTERESES</t>
        </r>
      </text>
    </comment>
    <comment ref="K35" authorId="0">
      <text>
        <r>
          <rPr>
            <b/>
            <sz val="10"/>
            <color indexed="81"/>
            <rFont val="Tahoma"/>
            <family val="2"/>
          </rPr>
          <t>avalenzu:</t>
        </r>
        <r>
          <rPr>
            <sz val="10"/>
            <color indexed="81"/>
            <rFont val="Tahoma"/>
            <family val="2"/>
          </rPr>
          <t xml:space="preserve">
DIGITAR EN MILLONES EL VALOR PROYECTADO DE LOS INTERESES</t>
        </r>
      </text>
    </comment>
    <comment ref="L35" authorId="0">
      <text>
        <r>
          <rPr>
            <b/>
            <sz val="10"/>
            <color indexed="81"/>
            <rFont val="Tahoma"/>
            <family val="2"/>
          </rPr>
          <t>avalenzu:</t>
        </r>
        <r>
          <rPr>
            <sz val="10"/>
            <color indexed="81"/>
            <rFont val="Tahoma"/>
            <family val="2"/>
          </rPr>
          <t xml:space="preserve">
DIGITAR EN MILLONES EL VALOR PROYECTADO DE LOS INTERESES</t>
        </r>
      </text>
    </comment>
    <comment ref="M35" authorId="0">
      <text>
        <r>
          <rPr>
            <b/>
            <sz val="10"/>
            <color indexed="81"/>
            <rFont val="Tahoma"/>
            <family val="2"/>
          </rPr>
          <t>avalenzu:</t>
        </r>
        <r>
          <rPr>
            <sz val="10"/>
            <color indexed="81"/>
            <rFont val="Tahoma"/>
            <family val="2"/>
          </rPr>
          <t xml:space="preserve">
DIGITAR EN MILLONES EL VALOR PROYECTADO DE LOS INTERESES</t>
        </r>
      </text>
    </comment>
    <comment ref="N35" authorId="0">
      <text>
        <r>
          <rPr>
            <b/>
            <sz val="10"/>
            <color indexed="81"/>
            <rFont val="Tahoma"/>
            <family val="2"/>
          </rPr>
          <t>avalenzu:</t>
        </r>
        <r>
          <rPr>
            <sz val="10"/>
            <color indexed="81"/>
            <rFont val="Tahoma"/>
            <family val="2"/>
          </rPr>
          <t xml:space="preserve">
DIGITAR EN MILLONES EL VALOR PROYECTADO DE LOS INTERESES</t>
        </r>
      </text>
    </comment>
    <comment ref="O35" authorId="0">
      <text>
        <r>
          <rPr>
            <b/>
            <sz val="10"/>
            <color indexed="81"/>
            <rFont val="Tahoma"/>
            <family val="2"/>
          </rPr>
          <t>avalenzu:</t>
        </r>
        <r>
          <rPr>
            <sz val="10"/>
            <color indexed="81"/>
            <rFont val="Tahoma"/>
            <family val="2"/>
          </rPr>
          <t xml:space="preserve">
DIGITAR EN MILLONES EL VALOR PROYECTADO DE LOS INTERESES</t>
        </r>
      </text>
    </comment>
    <comment ref="P35" authorId="0">
      <text>
        <r>
          <rPr>
            <b/>
            <sz val="10"/>
            <color indexed="81"/>
            <rFont val="Tahoma"/>
            <family val="2"/>
          </rPr>
          <t>avalenzu:</t>
        </r>
        <r>
          <rPr>
            <sz val="10"/>
            <color indexed="81"/>
            <rFont val="Tahoma"/>
            <family val="2"/>
          </rPr>
          <t xml:space="preserve">
DIGITAR EN MILLONES EL VALOR PROYECTADO DE LOS INTERESES</t>
        </r>
      </text>
    </comment>
    <comment ref="Q35" authorId="0">
      <text>
        <r>
          <rPr>
            <b/>
            <sz val="10"/>
            <color indexed="81"/>
            <rFont val="Tahoma"/>
            <family val="2"/>
          </rPr>
          <t>avalenzu:</t>
        </r>
        <r>
          <rPr>
            <sz val="10"/>
            <color indexed="81"/>
            <rFont val="Tahoma"/>
            <family val="2"/>
          </rPr>
          <t xml:space="preserve">
DIGITAR EN MILLONES EL VALOR PROYECTADO DE LOS INTERESES</t>
        </r>
      </text>
    </comment>
    <comment ref="R35" authorId="0">
      <text>
        <r>
          <rPr>
            <b/>
            <sz val="10"/>
            <color indexed="81"/>
            <rFont val="Tahoma"/>
            <family val="2"/>
          </rPr>
          <t>avalenzu:</t>
        </r>
        <r>
          <rPr>
            <sz val="10"/>
            <color indexed="81"/>
            <rFont val="Tahoma"/>
            <family val="2"/>
          </rPr>
          <t xml:space="preserve">
DIGITAR EN MILLONES EL VALOR PROYECTADO DE LOS INTERESES</t>
        </r>
      </text>
    </comment>
    <comment ref="S35" authorId="0">
      <text>
        <r>
          <rPr>
            <b/>
            <sz val="10"/>
            <color indexed="81"/>
            <rFont val="Tahoma"/>
            <family val="2"/>
          </rPr>
          <t>avalenzu:</t>
        </r>
        <r>
          <rPr>
            <sz val="10"/>
            <color indexed="81"/>
            <rFont val="Tahoma"/>
            <family val="2"/>
          </rPr>
          <t xml:space="preserve">
DIGITAR EN MILLONES EL VALOR PROYECTADO DE LOS INTERESES</t>
        </r>
      </text>
    </comment>
    <comment ref="D37" authorId="0">
      <text>
        <r>
          <rPr>
            <b/>
            <sz val="10"/>
            <color indexed="81"/>
            <rFont val="Tahoma"/>
            <family val="2"/>
          </rPr>
          <t>avalenzu:</t>
        </r>
        <r>
          <rPr>
            <sz val="10"/>
            <color indexed="81"/>
            <rFont val="Tahoma"/>
            <family val="2"/>
          </rPr>
          <t xml:space="preserve">
DIGITAR EN MILLONES EL VALOR TOTAL DEL NUEVO CREDITO. </t>
        </r>
      </text>
    </comment>
    <comment ref="G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H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I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J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K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L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M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N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O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P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Q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R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S37" authorId="0">
      <text>
        <r>
          <rPr>
            <b/>
            <sz val="10"/>
            <color indexed="81"/>
            <rFont val="Tahoma"/>
            <family val="2"/>
          </rPr>
          <t>avalenzu:</t>
        </r>
        <r>
          <rPr>
            <sz val="10"/>
            <color indexed="81"/>
            <rFont val="Tahoma"/>
            <family val="2"/>
          </rPr>
          <t xml:space="preserve">
DIGITAR EN MILLONES EL VALOR PROYECTADO DEL DESEMBOLSO DE UN NUEVO CREDITO. </t>
        </r>
      </text>
    </comment>
    <comment ref="D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G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H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I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J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K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L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M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N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O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P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Q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R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S38"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D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G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H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I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J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K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L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M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N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O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P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Q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R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S39" authorId="0">
      <text>
        <r>
          <rPr>
            <b/>
            <sz val="10"/>
            <color indexed="81"/>
            <rFont val="Tahoma"/>
            <family val="2"/>
          </rPr>
          <t>avalenzu:</t>
        </r>
        <r>
          <rPr>
            <sz val="10"/>
            <color indexed="81"/>
            <rFont val="Tahoma"/>
            <family val="2"/>
          </rPr>
          <t xml:space="preserve">
DIGITAR EN MILLONES EL VALOR PROYECTADO DE LOS INTERESES DEL NUEVO CREDITO.</t>
        </r>
      </text>
    </comment>
    <comment ref="B74" authorId="0">
      <text>
        <r>
          <rPr>
            <b/>
            <sz val="8"/>
            <color indexed="81"/>
            <rFont val="Tahoma"/>
            <family val="2"/>
          </rPr>
          <t>avalenzu:</t>
        </r>
        <r>
          <rPr>
            <sz val="8"/>
            <color indexed="81"/>
            <rFont val="Tahoma"/>
            <family val="2"/>
          </rPr>
          <t xml:space="preserve">
DIGITAR SOBRE LA LINEA  LA VIGENCIA FISCAL DEL CORTE DE CUENTAS POR PAGAR</t>
        </r>
      </text>
    </comment>
    <comment ref="E74" authorId="0">
      <text>
        <r>
          <rPr>
            <b/>
            <sz val="8"/>
            <color indexed="81"/>
            <rFont val="Tahoma"/>
            <family val="2"/>
          </rPr>
          <t>avalenzu:</t>
        </r>
        <r>
          <rPr>
            <sz val="8"/>
            <color indexed="81"/>
            <rFont val="Tahoma"/>
            <family val="2"/>
          </rPr>
          <t xml:space="preserve">
DIGITAR EN MILLONES EL VALOR DE LAS CUENTAS POR PAGAR SEGÚN SE INDICA EN LA CELDA G64.</t>
        </r>
      </text>
    </comment>
  </commentList>
</comments>
</file>

<file path=xl/comments6.xml><?xml version="1.0" encoding="utf-8"?>
<comments xmlns="http://schemas.openxmlformats.org/spreadsheetml/2006/main">
  <authors>
    <author>avalenzu</author>
  </authors>
  <commentList>
    <comment ref="B26" authorId="0">
      <text>
        <r>
          <rPr>
            <b/>
            <sz val="8"/>
            <color indexed="81"/>
            <rFont val="Tahoma"/>
            <family val="2"/>
          </rPr>
          <t>avalenzu:</t>
        </r>
        <r>
          <rPr>
            <sz val="8"/>
            <color indexed="81"/>
            <rFont val="Tahoma"/>
            <family val="2"/>
          </rPr>
          <t xml:space="preserve">
SE REQUIERE DILIGENCIAR POR CADA CONCEPTO, TODOS LOS ITEMS QUE SE SOLICITAN SOBRE LA EJECUCION DE ACREENCIAS.</t>
        </r>
      </text>
    </comment>
  </commentList>
</comments>
</file>

<file path=xl/comments7.xml><?xml version="1.0" encoding="utf-8"?>
<comments xmlns="http://schemas.openxmlformats.org/spreadsheetml/2006/main">
  <authors>
    <author>Findeter S. A.</author>
  </authors>
  <commentList>
    <comment ref="A86" authorId="0">
      <text>
        <r>
          <rPr>
            <b/>
            <sz val="8"/>
            <color indexed="81"/>
            <rFont val="Tahoma"/>
            <family val="2"/>
          </rPr>
          <t>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t>
        </r>
        <r>
          <rPr>
            <sz val="8"/>
            <color indexed="81"/>
            <rFont val="Tahoma"/>
            <family val="2"/>
          </rPr>
          <t xml:space="preserve">
</t>
        </r>
      </text>
    </comment>
    <comment ref="A89" authorId="0">
      <text>
        <r>
          <rPr>
            <b/>
            <sz val="8"/>
            <color indexed="81"/>
            <rFont val="Tahoma"/>
            <family val="2"/>
          </rPr>
          <t>En el formato de la Contraloría, este rubro aparece como una participación del nivel central nacional.</t>
        </r>
      </text>
    </comment>
    <comment ref="A99" authorId="0">
      <text>
        <r>
          <rPr>
            <b/>
            <sz val="8"/>
            <color indexed="81"/>
            <rFont val="Tahoma"/>
            <family val="2"/>
          </rPr>
          <t>El  formato de la Contraloría considera este rubro como ingreso corriente.</t>
        </r>
        <r>
          <rPr>
            <sz val="8"/>
            <color indexed="81"/>
            <rFont val="Tahoma"/>
            <family val="2"/>
          </rPr>
          <t xml:space="preserve">
</t>
        </r>
      </text>
    </comment>
    <comment ref="A122" authorId="0">
      <text>
        <r>
          <rPr>
            <b/>
            <sz val="8"/>
            <color indexed="81"/>
            <rFont val="Tahoma"/>
            <family val="2"/>
          </rPr>
          <t>En el formato de la Contraloría, este rubro aparece como una participación del nivel central nacional.</t>
        </r>
      </text>
    </comment>
  </commentList>
</comments>
</file>

<file path=xl/comments8.xml><?xml version="1.0" encoding="utf-8"?>
<comments xmlns="http://schemas.openxmlformats.org/spreadsheetml/2006/main">
  <authors>
    <author>Findeter S. A.</author>
  </authors>
  <commentList>
    <comment ref="A82" authorId="0">
      <text>
        <r>
          <rPr>
            <b/>
            <sz val="8"/>
            <color indexed="81"/>
            <rFont val="Tahoma"/>
            <family val="2"/>
          </rPr>
          <t>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t>
        </r>
        <r>
          <rPr>
            <sz val="8"/>
            <color indexed="81"/>
            <rFont val="Tahoma"/>
            <family val="2"/>
          </rPr>
          <t xml:space="preserve">
</t>
        </r>
      </text>
    </comment>
    <comment ref="A85" authorId="0">
      <text>
        <r>
          <rPr>
            <b/>
            <sz val="8"/>
            <color indexed="81"/>
            <rFont val="Tahoma"/>
            <family val="2"/>
          </rPr>
          <t>En el formato de la Contraloría, este rubro aparece como una participación del nivel central nacional.</t>
        </r>
      </text>
    </comment>
    <comment ref="A95" authorId="0">
      <text>
        <r>
          <rPr>
            <b/>
            <sz val="8"/>
            <color indexed="81"/>
            <rFont val="Tahoma"/>
            <family val="2"/>
          </rPr>
          <t>El  formato de la Contraloría considera este rubro como ingreso corriente.</t>
        </r>
        <r>
          <rPr>
            <sz val="8"/>
            <color indexed="81"/>
            <rFont val="Tahoma"/>
            <family val="2"/>
          </rPr>
          <t xml:space="preserve">
</t>
        </r>
      </text>
    </comment>
    <comment ref="A118" authorId="0">
      <text>
        <r>
          <rPr>
            <b/>
            <sz val="8"/>
            <color indexed="81"/>
            <rFont val="Tahoma"/>
            <family val="2"/>
          </rPr>
          <t>En el formato de la Contraloría, este rubro aparece como una participación del nivel central nacional.</t>
        </r>
      </text>
    </comment>
  </commentList>
</comments>
</file>

<file path=xl/comments9.xml><?xml version="1.0" encoding="utf-8"?>
<comments xmlns="http://schemas.openxmlformats.org/spreadsheetml/2006/main">
  <authors>
    <author>avalenzu</author>
    <author>abuitrag</author>
  </authors>
  <commentList>
    <comment ref="C5" authorId="0">
      <text>
        <r>
          <rPr>
            <b/>
            <sz val="8"/>
            <color indexed="81"/>
            <rFont val="Tahoma"/>
            <family val="2"/>
          </rPr>
          <t>avalenzu:</t>
        </r>
        <r>
          <rPr>
            <sz val="8"/>
            <color indexed="81"/>
            <rFont val="Tahoma"/>
            <family val="2"/>
          </rPr>
          <t xml:space="preserve">
DIGITAR EN MILLONES DE $ EL VALOR DE ICLD PARA LA VIGENCIA.</t>
        </r>
      </text>
    </comment>
    <comment ref="D5" authorId="0">
      <text>
        <r>
          <rPr>
            <b/>
            <sz val="8"/>
            <color indexed="81"/>
            <rFont val="Tahoma"/>
            <family val="2"/>
          </rPr>
          <t>avalenzu:</t>
        </r>
        <r>
          <rPr>
            <sz val="8"/>
            <color indexed="81"/>
            <rFont val="Tahoma"/>
            <family val="2"/>
          </rPr>
          <t xml:space="preserve">
ESTE VALOR ES AUTOMATICO DE LAS EJECUCIONES Y LA HOJA LEY 617.</t>
        </r>
      </text>
    </comment>
    <comment ref="C6" authorId="0">
      <text>
        <r>
          <rPr>
            <b/>
            <sz val="8"/>
            <color indexed="81"/>
            <rFont val="Tahoma"/>
            <family val="2"/>
          </rPr>
          <t>avalenzu:</t>
        </r>
        <r>
          <rPr>
            <sz val="8"/>
            <color indexed="81"/>
            <rFont val="Tahoma"/>
            <family val="2"/>
          </rPr>
          <t xml:space="preserve">
DIGITAR EN MILLONES DE $ EL VALOR DE LOS GASTOS DE FUNCIONAMIENTO PARA LA VIGENCIA.</t>
        </r>
      </text>
    </comment>
    <comment ref="D6" authorId="0">
      <text>
        <r>
          <rPr>
            <b/>
            <sz val="8"/>
            <color indexed="81"/>
            <rFont val="Tahoma"/>
            <family val="2"/>
          </rPr>
          <t>avalenzu:</t>
        </r>
        <r>
          <rPr>
            <sz val="8"/>
            <color indexed="81"/>
            <rFont val="Tahoma"/>
            <family val="2"/>
          </rPr>
          <t xml:space="preserve">
ESTE VALOR ES AUTOMATICO DE LAS EJECUCIONES Y LA HOJA LEY 617.</t>
        </r>
      </text>
    </comment>
    <comment ref="D8" authorId="0">
      <text>
        <r>
          <rPr>
            <b/>
            <sz val="8"/>
            <color indexed="81"/>
            <rFont val="Tahoma"/>
            <family val="2"/>
          </rPr>
          <t>avalenzu:</t>
        </r>
        <r>
          <rPr>
            <sz val="8"/>
            <color indexed="81"/>
            <rFont val="Tahoma"/>
            <family val="2"/>
          </rPr>
          <t xml:space="preserve">
ESTE DATO ES AUTOMATICO SEGÚN VIGENCIA Y CATEGORIA</t>
        </r>
      </text>
    </comment>
    <comment ref="C16" authorId="0">
      <text>
        <r>
          <rPr>
            <b/>
            <sz val="8"/>
            <color indexed="81"/>
            <rFont val="Tahoma"/>
            <family val="2"/>
          </rPr>
          <t>avalenzu:</t>
        </r>
        <r>
          <rPr>
            <sz val="8"/>
            <color indexed="81"/>
            <rFont val="Tahoma"/>
            <family val="2"/>
          </rPr>
          <t xml:space="preserve">
DIGITAR LA CATEGORIA PARA ESTA VIGENCIA.</t>
        </r>
      </text>
    </comment>
    <comment ref="D16" authorId="0">
      <text>
        <r>
          <rPr>
            <b/>
            <sz val="8"/>
            <color indexed="81"/>
            <rFont val="Tahoma"/>
            <family val="2"/>
          </rPr>
          <t>avalenzu:</t>
        </r>
        <r>
          <rPr>
            <sz val="8"/>
            <color indexed="81"/>
            <rFont val="Tahoma"/>
            <family val="2"/>
          </rPr>
          <t xml:space="preserve">
ESTE DATO ES AUTOMATICO SEGÚN CATEGORIA INDICADA EN LA HOJA DE INGRESOS</t>
        </r>
      </text>
    </comment>
    <comment ref="C17" authorId="0">
      <text>
        <r>
          <rPr>
            <b/>
            <sz val="8"/>
            <color indexed="81"/>
            <rFont val="Tahoma"/>
            <family val="2"/>
          </rPr>
          <t>avalenzu:</t>
        </r>
        <r>
          <rPr>
            <sz val="8"/>
            <color indexed="81"/>
            <rFont val="Tahoma"/>
            <family val="2"/>
          </rPr>
          <t xml:space="preserve">
DIGITAR EL NUMERO DE CONCEJALES </t>
        </r>
      </text>
    </comment>
    <comment ref="D17" authorId="0">
      <text>
        <r>
          <rPr>
            <b/>
            <sz val="8"/>
            <color indexed="81"/>
            <rFont val="Tahoma"/>
            <family val="2"/>
          </rPr>
          <t>avalenzu:</t>
        </r>
        <r>
          <rPr>
            <sz val="8"/>
            <color indexed="81"/>
            <rFont val="Tahoma"/>
            <family val="2"/>
          </rPr>
          <t xml:space="preserve">
DIGITAR EL NUMERO DE CONCEJALES.</t>
        </r>
      </text>
    </comment>
    <comment ref="C18" authorId="0">
      <text>
        <r>
          <rPr>
            <b/>
            <sz val="8"/>
            <color indexed="81"/>
            <rFont val="Tahoma"/>
            <family val="2"/>
          </rPr>
          <t>avalenzu:</t>
        </r>
        <r>
          <rPr>
            <sz val="8"/>
            <color indexed="81"/>
            <rFont val="Tahoma"/>
            <family val="2"/>
          </rPr>
          <t xml:space="preserve">
DIGITAR EL NUMERO DE SESIONES MAXIMAS PARA EL AÑO.</t>
        </r>
      </text>
    </comment>
    <comment ref="D18" authorId="0">
      <text>
        <r>
          <rPr>
            <b/>
            <sz val="8"/>
            <color indexed="81"/>
            <rFont val="Tahoma"/>
            <family val="2"/>
          </rPr>
          <t>avalenzu:</t>
        </r>
        <r>
          <rPr>
            <sz val="8"/>
            <color indexed="81"/>
            <rFont val="Tahoma"/>
            <family val="2"/>
          </rPr>
          <t xml:space="preserve">
DIGITAR EL NUMERO MAXIMO DE SESIONE PARA EL AÑO</t>
        </r>
      </text>
    </comment>
    <comment ref="C19" authorId="0">
      <text>
        <r>
          <rPr>
            <b/>
            <sz val="8"/>
            <color indexed="81"/>
            <rFont val="Tahoma"/>
            <family val="2"/>
          </rPr>
          <t>avalenzu:</t>
        </r>
        <r>
          <rPr>
            <sz val="8"/>
            <color indexed="81"/>
            <rFont val="Tahoma"/>
            <family val="2"/>
          </rPr>
          <t xml:space="preserve">
DIGITAR EN MILLONES DE $ EL SALARIO DIARIO DEL ALCALDE: EJM: 
=2000000/30/1000000</t>
        </r>
      </text>
    </comment>
    <comment ref="D19" authorId="0">
      <text>
        <r>
          <rPr>
            <b/>
            <sz val="8"/>
            <color indexed="81"/>
            <rFont val="Tahoma"/>
            <family val="2"/>
          </rPr>
          <t>avalenzu:</t>
        </r>
        <r>
          <rPr>
            <sz val="8"/>
            <color indexed="81"/>
            <rFont val="Tahoma"/>
            <family val="2"/>
          </rPr>
          <t xml:space="preserve">
DIGITAR EN MILLONES DE $ EL SALARIO DIARIO DEL ALCALDE: EJM: 
=2000000/30/1000000</t>
        </r>
      </text>
    </comment>
    <comment ref="C20" authorId="0">
      <text>
        <r>
          <rPr>
            <b/>
            <sz val="8"/>
            <color indexed="81"/>
            <rFont val="Tahoma"/>
            <family val="2"/>
          </rPr>
          <t>avalenzu:</t>
        </r>
        <r>
          <rPr>
            <sz val="8"/>
            <color indexed="81"/>
            <rFont val="Tahoma"/>
            <family val="2"/>
          </rPr>
          <t xml:space="preserve">
DIGITAR EN MILLONES DE $ EL SALARIO MINIMO DE LA VIGENCIA QUE CORRESPONDE.</t>
        </r>
      </text>
    </comment>
    <comment ref="D20" authorId="0">
      <text>
        <r>
          <rPr>
            <b/>
            <sz val="8"/>
            <color indexed="81"/>
            <rFont val="Tahoma"/>
            <family val="2"/>
          </rPr>
          <t>avalenzu:</t>
        </r>
        <r>
          <rPr>
            <sz val="8"/>
            <color indexed="81"/>
            <rFont val="Tahoma"/>
            <family val="2"/>
          </rPr>
          <t xml:space="preserve">
DIGITAR EN MILLONES DE $ EL SALARIO MINIMO DE LA VIGENCIA QUE CORRESPONDE.</t>
        </r>
      </text>
    </comment>
    <comment ref="D23" authorId="0">
      <text>
        <r>
          <rPr>
            <b/>
            <sz val="8"/>
            <color indexed="81"/>
            <rFont val="Tahoma"/>
            <family val="2"/>
          </rPr>
          <t>avalenzu:</t>
        </r>
        <r>
          <rPr>
            <sz val="8"/>
            <color indexed="81"/>
            <rFont val="Tahoma"/>
            <family val="2"/>
          </rPr>
          <t xml:space="preserve">
SELECCIONAR LA OPCION QUE SE ESTABLECIO COMO EL ADICIONAL DE TRASNFERECIA AL CONCEJO CUANDO EN EL AÑO ANTERIOR EL MUNICIPIO NO SUPERO LOS $1,000 MILLONES DE ICLD.</t>
        </r>
      </text>
    </comment>
    <comment ref="C25" authorId="0">
      <text>
        <r>
          <rPr>
            <b/>
            <sz val="8"/>
            <color indexed="81"/>
            <rFont val="Tahoma"/>
            <family val="2"/>
          </rPr>
          <t>avalenzu:</t>
        </r>
        <r>
          <rPr>
            <sz val="8"/>
            <color indexed="81"/>
            <rFont val="Tahoma"/>
            <family val="2"/>
          </rPr>
          <t xml:space="preserve">
DIGITAR EN MILLONES DE $ EL VALOR DE TRANSFERENCIA REALIZADA.</t>
        </r>
      </text>
    </comment>
    <comment ref="D25" authorId="0">
      <text>
        <r>
          <rPr>
            <b/>
            <sz val="8"/>
            <color indexed="81"/>
            <rFont val="Tahoma"/>
            <family val="2"/>
          </rPr>
          <t>avalenzu:</t>
        </r>
        <r>
          <rPr>
            <sz val="8"/>
            <color indexed="81"/>
            <rFont val="Tahoma"/>
            <family val="2"/>
          </rPr>
          <t xml:space="preserve">
ESTE VALOR ES AUTOMATICO SEGÚN EJECUCIONES</t>
        </r>
      </text>
    </comment>
    <comment ref="C28" authorId="1">
      <text>
        <r>
          <rPr>
            <b/>
            <sz val="8"/>
            <color indexed="81"/>
            <rFont val="Tahoma"/>
            <family val="2"/>
          </rPr>
          <t>avalenzu:</t>
        </r>
        <r>
          <rPr>
            <sz val="8"/>
            <color indexed="81"/>
            <rFont val="Tahoma"/>
            <family val="2"/>
          </rPr>
          <t xml:space="preserve">
DIGITAR EL VALOR ADICIONAL PARA GASTOS DEL CONCEJO EN ESTA VIGENCIA.</t>
        </r>
      </text>
    </comment>
    <comment ref="C34" authorId="0">
      <text>
        <r>
          <rPr>
            <b/>
            <sz val="8"/>
            <color indexed="81"/>
            <rFont val="Tahoma"/>
            <family val="2"/>
          </rPr>
          <t>avalenzu:</t>
        </r>
        <r>
          <rPr>
            <sz val="8"/>
            <color indexed="81"/>
            <rFont val="Tahoma"/>
            <family val="2"/>
          </rPr>
          <t xml:space="preserve">
SELECCIONAR  SI CUANDO EXISTE CONTRALORIA O SELECCIONAR  NO  EN CASO CONTRARIO</t>
        </r>
      </text>
    </comment>
    <comment ref="D34" authorId="0">
      <text>
        <r>
          <rPr>
            <b/>
            <sz val="8"/>
            <color indexed="81"/>
            <rFont val="Tahoma"/>
            <family val="2"/>
          </rPr>
          <t>avalenzu:</t>
        </r>
        <r>
          <rPr>
            <sz val="8"/>
            <color indexed="81"/>
            <rFont val="Tahoma"/>
            <family val="2"/>
          </rPr>
          <t xml:space="preserve">
SELECCIONAR  SI CUANDO EXISTE CONTRALORIA O SELECCIONAR  NO  EN CASO CONTRARIO</t>
        </r>
      </text>
    </comment>
    <comment ref="C37" authorId="0">
      <text>
        <r>
          <rPr>
            <b/>
            <sz val="8"/>
            <color indexed="81"/>
            <rFont val="Tahoma"/>
            <family val="2"/>
          </rPr>
          <t>avalenzu:</t>
        </r>
        <r>
          <rPr>
            <sz val="8"/>
            <color indexed="81"/>
            <rFont val="Tahoma"/>
            <family val="2"/>
          </rPr>
          <t xml:space="preserve">
DIGITAR EN MILLONES DE $ EL VALOR DE LA TRANSFERENCIA REALIZADA.</t>
        </r>
      </text>
    </comment>
    <comment ref="C47" authorId="0">
      <text>
        <r>
          <rPr>
            <b/>
            <sz val="8"/>
            <color indexed="81"/>
            <rFont val="Tahoma"/>
            <family val="2"/>
          </rPr>
          <t>avalenzu:</t>
        </r>
        <r>
          <rPr>
            <sz val="8"/>
            <color indexed="81"/>
            <rFont val="Tahoma"/>
            <family val="2"/>
          </rPr>
          <t xml:space="preserve">
DIGITAR EN MILLONES DE $ EL VALOR DE LA TRANSFERENCIA REALIZADA.</t>
        </r>
      </text>
    </comment>
    <comment ref="C79" authorId="0">
      <text>
        <r>
          <rPr>
            <b/>
            <sz val="8"/>
            <color indexed="81"/>
            <rFont val="Tahoma"/>
            <family val="2"/>
          </rPr>
          <t>avalenzu:</t>
        </r>
        <r>
          <rPr>
            <sz val="8"/>
            <color indexed="81"/>
            <rFont val="Tahoma"/>
            <family val="2"/>
          </rPr>
          <t xml:space="preserve">
DIGITAR EL PORCENTAJE LIMITE DE GASTOS ESTABLECIDO PARA LA VIGENCIA EN ESTUDIO EN EL PROGRAMA DE SANEAMIENTO FISCAL O ACUERDO DE PASIVOS, INCLUYENDO ORGANOS DE CONTROL</t>
        </r>
      </text>
    </comment>
    <comment ref="D79" authorId="0">
      <text>
        <r>
          <rPr>
            <b/>
            <sz val="8"/>
            <color indexed="81"/>
            <rFont val="Tahoma"/>
            <family val="2"/>
          </rPr>
          <t>avalenzu:</t>
        </r>
        <r>
          <rPr>
            <sz val="8"/>
            <color indexed="81"/>
            <rFont val="Tahoma"/>
            <family val="2"/>
          </rPr>
          <t xml:space="preserve">
DIGITAR EL PORCENTAJE LIMITE DE GASTOS ESTABLECIDO PARA LA VIGENCIA EN ESTUDIO EN EL PROGRAMA DE SANEAMIENTO FISCAL O ACUERDO DE PASIVOS, INCLUYENDO ORGANOS DE CONTROL</t>
        </r>
      </text>
    </comment>
  </commentList>
</comments>
</file>

<file path=xl/sharedStrings.xml><?xml version="1.0" encoding="utf-8"?>
<sst xmlns="http://schemas.openxmlformats.org/spreadsheetml/2006/main" count="2884" uniqueCount="1440">
  <si>
    <t>Variables 2262601,  2262603, 2262605, 2262606, 2262607, 2262611, 2262698, 2262810, 2262811, 2262814, 2262816, 2262817,  2262898, 2263001, 2263003, 2263011, 2263014, 2263098, 2263214, 2263215, 2263216 y 2263217, 2265201, 2265203, 2265205, 2265207, 2265211,</t>
  </si>
  <si>
    <t>228</t>
  </si>
  <si>
    <t xml:space="preserve">  DÉFICIT FISCAL (POR INVERSIÓN)</t>
  </si>
  <si>
    <t>23</t>
  </si>
  <si>
    <t>Corresponde a la suma de las siguientes variables del formato de la CGR:       231, 232</t>
  </si>
  <si>
    <t xml:space="preserve"> SERVICIO DE LA DEUDA</t>
  </si>
  <si>
    <t>296A</t>
  </si>
  <si>
    <t>Corresponde a la suma de las siguientes variables del formato de la CGR:       23101, 23201</t>
  </si>
  <si>
    <t xml:space="preserve">    Deuda Interna</t>
  </si>
  <si>
    <t>297A</t>
  </si>
  <si>
    <t>Corresponde a la suma de las siguientes variables del formato de la CGR:       2310101,2320101</t>
  </si>
  <si>
    <t xml:space="preserve">      Amortización</t>
  </si>
  <si>
    <t>298A</t>
  </si>
  <si>
    <t>Corresponde a la suma de las siguientes variables del formato de la CGR:       2310102, 2320102</t>
  </si>
  <si>
    <t xml:space="preserve">      Intereses</t>
  </si>
  <si>
    <t>299A</t>
  </si>
  <si>
    <t>Corresponde a la suma de las siguientes variables del formato de la CGR:       2310103, 2320103</t>
  </si>
  <si>
    <t xml:space="preserve">      Comisiones y Otros</t>
  </si>
  <si>
    <t>300A</t>
  </si>
  <si>
    <t>Corresponde a la suma de las siguientes variables del formato de la CGR:       2310104,2320104</t>
  </si>
  <si>
    <t xml:space="preserve">      Bonos Pensionales</t>
  </si>
  <si>
    <t>301A</t>
  </si>
  <si>
    <t>Corresponde a la suma de las siguientes variables del formato de la CGR:       23102, 23202</t>
  </si>
  <si>
    <t xml:space="preserve">    Deuda Externa</t>
  </si>
  <si>
    <t>302A</t>
  </si>
  <si>
    <t>Corresponde a la suma de las siguientes variables del formato de la CGR:       2310201, 2320201</t>
  </si>
  <si>
    <t>303A</t>
  </si>
  <si>
    <t xml:space="preserve"> </t>
  </si>
  <si>
    <t>304A</t>
  </si>
  <si>
    <t>Corresponde a la suma de las siguientes variables del formato de la CGR:       2310203, 2320203</t>
  </si>
  <si>
    <t>INFORMACIÓN ADICIONAL</t>
  </si>
  <si>
    <t>Código     CGR</t>
  </si>
  <si>
    <t>CONCEPTO</t>
  </si>
  <si>
    <t>Escenario Financiero (1)</t>
  </si>
  <si>
    <t>Ejecución Acumulada al mismo mes del año anterior</t>
  </si>
  <si>
    <t>(2)/(1)</t>
  </si>
  <si>
    <t>Apropiación Definitiva</t>
  </si>
  <si>
    <t>118A</t>
  </si>
  <si>
    <t>ORGANISMOS DE CONTROL</t>
  </si>
  <si>
    <t>242</t>
  </si>
  <si>
    <t>Transferencias a Concejo</t>
  </si>
  <si>
    <t>243</t>
  </si>
  <si>
    <t xml:space="preserve">Transferencias a Contraloría </t>
  </si>
  <si>
    <t>244</t>
  </si>
  <si>
    <t>Transferencias a Personería</t>
  </si>
  <si>
    <t>Inicial</t>
  </si>
  <si>
    <t>341A</t>
  </si>
  <si>
    <t>TRANSFERENCIAS A RESGUARDOS INDIGENAS</t>
  </si>
  <si>
    <t>241</t>
  </si>
  <si>
    <t>Resguardos Indigenas</t>
  </si>
  <si>
    <t>Saneamiento fiscal (digite una X si está en saneamiento fiscal, sino deje en blanco)</t>
  </si>
  <si>
    <t>Código CGR</t>
  </si>
  <si>
    <t>Composiciones  Anuales</t>
  </si>
  <si>
    <t>INGRESOS TOTALES</t>
  </si>
  <si>
    <t>INGRESOS CORRIENTES</t>
  </si>
  <si>
    <t>TRIBUTARIOS</t>
  </si>
  <si>
    <t xml:space="preserve">  Otros Ingresos Tributarios</t>
  </si>
  <si>
    <t>NO TRIBUTARIOS</t>
  </si>
  <si>
    <t>127A</t>
  </si>
  <si>
    <t xml:space="preserve">             Ingresos de la propiedad (Tasas, multas, arrendamientos y alquileres, contribuciones)</t>
  </si>
  <si>
    <t xml:space="preserve">             Otros no tributarios (operación comercial, fondos especiales, otros)</t>
  </si>
  <si>
    <t xml:space="preserve">       Transferencias</t>
  </si>
  <si>
    <t xml:space="preserve">         Del Nivel Nacional (SGP- Inversión)</t>
  </si>
  <si>
    <t xml:space="preserve">             Otras (Alimentación Escolar, Municipios Ribereños, Otras transferencias del nivel central nacional)</t>
  </si>
  <si>
    <t>GASTOS  TOTALES</t>
  </si>
  <si>
    <t>131A</t>
  </si>
  <si>
    <t>GASTOS CORRIENTES</t>
  </si>
  <si>
    <t>FUNCIONAMIENTO</t>
  </si>
  <si>
    <t>132A</t>
  </si>
  <si>
    <t>133A</t>
  </si>
  <si>
    <t xml:space="preserve">        Previsión Social (cesantías y otras prestaciones)</t>
  </si>
  <si>
    <t>312A</t>
  </si>
  <si>
    <t xml:space="preserve">        A Entidades  Nacionales (Fonpet y otros)</t>
  </si>
  <si>
    <t>313A</t>
  </si>
  <si>
    <t xml:space="preserve">        A Entidades Departamentales</t>
  </si>
  <si>
    <t>217A</t>
  </si>
  <si>
    <t>314A</t>
  </si>
  <si>
    <t xml:space="preserve">        Sentencias y Conciliaciones</t>
  </si>
  <si>
    <t xml:space="preserve">        Otras Transferencias</t>
  </si>
  <si>
    <t>2320A</t>
  </si>
  <si>
    <t xml:space="preserve"> Intereses y Comisiones de Deuda Pública</t>
  </si>
  <si>
    <t>135A</t>
  </si>
  <si>
    <t xml:space="preserve">           Interna</t>
  </si>
  <si>
    <t>137A</t>
  </si>
  <si>
    <t>RESUMEN INDICADOR LEY 617/2000</t>
  </si>
  <si>
    <t>PROTECION 2006</t>
  </si>
  <si>
    <t>Gastos operativos en sectores sociales (remuneración al trabajo, prestaciones, subsidios en educación, salud y otros sectores de inversión)</t>
  </si>
  <si>
    <t>Déficit de Vigencias anteriores por funcionamiento</t>
  </si>
  <si>
    <t>138A</t>
  </si>
  <si>
    <t>DÉFICIT O AHORRO CORRIENTE</t>
  </si>
  <si>
    <t>INGRESOS DE CAPITAL</t>
  </si>
  <si>
    <t xml:space="preserve">        Fondo de Ahorro y Estabilización Petrolera (FAEP)</t>
  </si>
  <si>
    <t xml:space="preserve">         Excedentes Financieros</t>
  </si>
  <si>
    <t xml:space="preserve">         Recursos del balance  </t>
  </si>
  <si>
    <t xml:space="preserve">         Otros recursos de capital  (donaciones, aprovechamientos y otros)</t>
  </si>
  <si>
    <t>139A</t>
  </si>
  <si>
    <t>GASTOS DE CAPITAL</t>
  </si>
  <si>
    <t>140A</t>
  </si>
  <si>
    <t xml:space="preserve">        Formación Bruta de capital (construcción, reparación)</t>
  </si>
  <si>
    <t xml:space="preserve">        Déficit de Vigencias anteriores por inversión</t>
  </si>
  <si>
    <t>142A</t>
  </si>
  <si>
    <t>DÉFICIT O SUPERÁVIT DE CAPITAL</t>
  </si>
  <si>
    <t>143A</t>
  </si>
  <si>
    <t>DÉFICIT O SUPERÁVIT TOTAL</t>
  </si>
  <si>
    <t>144A</t>
  </si>
  <si>
    <t>FINANCIACIÓN</t>
  </si>
  <si>
    <t xml:space="preserve">  Recursos del crédito</t>
  </si>
  <si>
    <t>218A</t>
  </si>
  <si>
    <t xml:space="preserve">        Desembolsos</t>
  </si>
  <si>
    <t xml:space="preserve">        Amortizaciones</t>
  </si>
  <si>
    <t>219A</t>
  </si>
  <si>
    <t>145A</t>
  </si>
  <si>
    <t xml:space="preserve">DÉFICIT O SUPERÁVIT PRIMARIO </t>
  </si>
  <si>
    <t>146A</t>
  </si>
  <si>
    <t>DÉFICIT O SUPERÁVIT PRIMARIO/INTERESES</t>
  </si>
  <si>
    <t>147A</t>
  </si>
  <si>
    <t>RESULTADO PRESUPUESTAL</t>
  </si>
  <si>
    <t>148A</t>
  </si>
  <si>
    <t>149A</t>
  </si>
  <si>
    <t>GASTOS TOTALES</t>
  </si>
  <si>
    <t>150A</t>
  </si>
  <si>
    <t>DEFICIT O SUPERAVIT PRESUPUESTAL</t>
  </si>
  <si>
    <t>DÉFICIT O SUPERÁVIT PRIMARIO / INGRESOS CORRIENTES</t>
  </si>
  <si>
    <t>GASTOS CORRIENTES / INGRESOS CORRIENTES</t>
  </si>
  <si>
    <t>DÉFICIT O AHORRO CORRIENTE / INGRESOS CORRIENTES</t>
  </si>
  <si>
    <t>CUENTAS POR PAGAR VIGENCIA ANTERIOR</t>
  </si>
  <si>
    <t>CUENTAS POR PAGAR / INGRESOS CORRIENTES</t>
  </si>
  <si>
    <t>DÉFICIT O SUPERÁVIT TOTAL / INGRESOS CORRIENTES</t>
  </si>
  <si>
    <t>CATEGORIA DEL MUNICIPIO</t>
  </si>
  <si>
    <t>1,- LIMITES DEL GASTO (LEY 617 DE 2000)</t>
  </si>
  <si>
    <t>ICLD</t>
  </si>
  <si>
    <t>GASTOS DE FUNCIONAMIENTO CON ORG. CONTROL</t>
  </si>
  <si>
    <t>GTOS DE FTO CON ORG. CONTROL . / ICLD</t>
  </si>
  <si>
    <t>GASTOS DE FUNCIONAMIENTO SIN ORG. CONTROL</t>
  </si>
  <si>
    <t>GTOS DE FTO SIN ORG. CONTROL . / ICLD</t>
  </si>
  <si>
    <t>LIMITE LEGAL SEGÚN CATEGORÍA</t>
  </si>
  <si>
    <t>2,- CAPACIDAD DE ENDEUDAMIENTO (LEY 358 DE 1997)</t>
  </si>
  <si>
    <t>INGRESOS CORRIENTES LEY 358</t>
  </si>
  <si>
    <t>GASTOS DE FUNCIONAMIENTO</t>
  </si>
  <si>
    <t>AHORRO OPERACIONAL</t>
  </si>
  <si>
    <t>SALDO DE LA DEUDA VIGENCIA ANTERIOR</t>
  </si>
  <si>
    <t>DESEMBOLSOS DEUDA CONTRATADA V.A.</t>
  </si>
  <si>
    <t>TOTAL DEUDA SIN NUEVO CREDITO</t>
  </si>
  <si>
    <t>AMORTIZACIONES PAGADAS</t>
  </si>
  <si>
    <t>AMORTIZACIONES POR PAGAR RESTO DE VIGENCIA</t>
  </si>
  <si>
    <t>CREDITO NUEVO</t>
  </si>
  <si>
    <t>AMORTIZACIONES EL NUEVO CREDITO</t>
  </si>
  <si>
    <t>INTERESES PAGADOS Y POR PAGAR DEUDA VIGENTE</t>
  </si>
  <si>
    <t>INTERESES DEL NUEVO CREDITO</t>
  </si>
  <si>
    <t>SALDO DEUDA CON NUEVO CREDITO</t>
  </si>
  <si>
    <t>INTERESES / AHORRO OPERACIONAL</t>
  </si>
  <si>
    <t>SALDO DEUDA / INGRESOS CORRIENTES</t>
  </si>
  <si>
    <t>INDICADORES LEY 358/97 INTERESES / AHORRO O.</t>
  </si>
  <si>
    <t>INDICADORES LEY 358/97 DEUDA / ING. CTES.</t>
  </si>
  <si>
    <t>SEMAFORO</t>
  </si>
  <si>
    <t xml:space="preserve">AHORRO PRIMARIO / INTERESES  </t>
  </si>
  <si>
    <t>AHORRO PRIMARIO / SERVICIO DE LA DEUDA</t>
  </si>
  <si>
    <t>Municipio</t>
  </si>
  <si>
    <t>Código           CGR</t>
  </si>
  <si>
    <t>PRESUPUESTO DEFINITIVO</t>
  </si>
  <si>
    <t>EJECUCIÓN A MES DE ________</t>
  </si>
  <si>
    <t>Porcentaje de la Renta que Tiene Destinación Específica</t>
  </si>
  <si>
    <t>Soporte Legal de la Destinación</t>
  </si>
  <si>
    <t>ESCENARIO FINANCIERO</t>
  </si>
  <si>
    <t>120A</t>
  </si>
  <si>
    <t xml:space="preserve"> ICLD base para ley 617 DE 2.000</t>
  </si>
  <si>
    <t xml:space="preserve"> COMPUTAN PARA LEY 617</t>
  </si>
  <si>
    <t>NO COMPUTAN PARA LEY 617</t>
  </si>
  <si>
    <t>TOTAL (FORMATO B)</t>
  </si>
  <si>
    <t>Código            CGR</t>
  </si>
  <si>
    <t>EJECUCIÓN A MES</t>
  </si>
  <si>
    <t>GASTOS DE PERSONAL</t>
  </si>
  <si>
    <t>GASTOS GENERALES</t>
  </si>
  <si>
    <t>TRANSFERENCIAS</t>
  </si>
  <si>
    <t>Indemnización por Retiros de Personal</t>
  </si>
  <si>
    <t>DEFICIT FISCAL POR FUNCIONAMIENTO</t>
  </si>
  <si>
    <t>121A</t>
  </si>
  <si>
    <t xml:space="preserve">  PAGOS DE PERSONAL Y APORTES DE SEGURIDAD SOCIAL EN SECTORES DE INVERSIÓN NO AUTORIZADOS </t>
  </si>
  <si>
    <t>CÓDIGO</t>
  </si>
  <si>
    <t>Fuente: DAF con base en información de la Secretaría de Hacienda Departamental.</t>
  </si>
  <si>
    <t>(en millones de $)</t>
  </si>
  <si>
    <t>EJECUCIONES</t>
  </si>
  <si>
    <t>VIGENCIA ACTUAL Capacidad Real de Pago</t>
  </si>
  <si>
    <t>Proyección Capacidad de Pago ley 358/97 Año</t>
  </si>
  <si>
    <t>VIGENCIA ANTERIOR</t>
  </si>
  <si>
    <t xml:space="preserve">INGRESOS CORRIENTES </t>
  </si>
  <si>
    <t>1.1.1</t>
  </si>
  <si>
    <t xml:space="preserve"> INGRESOS TRIBUTARIOS</t>
  </si>
  <si>
    <t>1.1.2</t>
  </si>
  <si>
    <t xml:space="preserve"> INGRESOS NO TRIBUTARIOS</t>
  </si>
  <si>
    <t>1.1.3</t>
  </si>
  <si>
    <t xml:space="preserve"> TRANSFERENCIAS</t>
  </si>
  <si>
    <t>n.a.</t>
  </si>
  <si>
    <t>1.2.6</t>
  </si>
  <si>
    <t xml:space="preserve"> Regalías</t>
  </si>
  <si>
    <t>1.2.8</t>
  </si>
  <si>
    <t xml:space="preserve"> Rendimientos Financieros</t>
  </si>
  <si>
    <t>2.1.1</t>
  </si>
  <si>
    <t>% POR RECAUDAR</t>
  </si>
  <si>
    <t xml:space="preserve"> GASTOS DE PERSONAL</t>
  </si>
  <si>
    <t>2.1.2</t>
  </si>
  <si>
    <t xml:space="preserve"> GASTOS GENERALES</t>
  </si>
  <si>
    <t>2.1.3</t>
  </si>
  <si>
    <t>2.1.4</t>
  </si>
  <si>
    <t xml:space="preserve"> GASTOS DE PERSONAL PRESUPUESTADOS COMO INVERSIÓN </t>
  </si>
  <si>
    <t>151A</t>
  </si>
  <si>
    <t xml:space="preserve"> PAGO DE DÉFICIT DE VIGENCIAS ANTERIORES</t>
  </si>
  <si>
    <t>3</t>
  </si>
  <si>
    <t>AHORRO OPERACIONAL (1-2)</t>
  </si>
  <si>
    <t>152A</t>
  </si>
  <si>
    <t>INFLACION ESPERADA</t>
  </si>
  <si>
    <t>216A</t>
  </si>
  <si>
    <t>SITUACION  DE LA DEUDA SIN NUEVO CREDITO</t>
  </si>
  <si>
    <t>4</t>
  </si>
  <si>
    <t>SALDO  DEUDA           =   ( 4.1 + 4.2 + 4.3 - 4.4 )</t>
  </si>
  <si>
    <t>4.1</t>
  </si>
  <si>
    <t xml:space="preserve"> Saldo Deuda  a 31diciembre de año anterior</t>
  </si>
  <si>
    <t>4.2</t>
  </si>
  <si>
    <t xml:space="preserve"> Créditos Contratados en la presente vigencia </t>
  </si>
  <si>
    <t>4.3</t>
  </si>
  <si>
    <t xml:space="preserve"> Cuentas por pagar a cierre 2001 menos pago del déficit en 2002</t>
  </si>
  <si>
    <t>153A</t>
  </si>
  <si>
    <t xml:space="preserve"> Pasivos contingentes estimados</t>
  </si>
  <si>
    <t>4.4</t>
  </si>
  <si>
    <t xml:space="preserve"> Amortizaciones de la Deuda    = ( 4.4.1 + 4.4.2 )</t>
  </si>
  <si>
    <t>4.4.1</t>
  </si>
  <si>
    <t xml:space="preserve">  Amortizaciones Pagadas </t>
  </si>
  <si>
    <t>4.4.2</t>
  </si>
  <si>
    <t xml:space="preserve">  Amortizaciones por Pagar en el resto de la vigencia</t>
  </si>
  <si>
    <t>5</t>
  </si>
  <si>
    <t>INTERESES DE LA DEUDA VIGENTE   = ( 5.1 + 5.2 )</t>
  </si>
  <si>
    <t>5.1</t>
  </si>
  <si>
    <t>Intereses Pagados a la fecha de corte</t>
  </si>
  <si>
    <t>5.2</t>
  </si>
  <si>
    <t>Intereses por Pagar en el resto de la vigencia</t>
  </si>
  <si>
    <t>6</t>
  </si>
  <si>
    <t>SITUACIÓN DEL NUEVO CREDITO</t>
  </si>
  <si>
    <t>6.1</t>
  </si>
  <si>
    <t>Valor total del Nuevo Crédito</t>
  </si>
  <si>
    <t>6.2</t>
  </si>
  <si>
    <t xml:space="preserve">Amortizaciones del nuevo credito </t>
  </si>
  <si>
    <t>6.3</t>
  </si>
  <si>
    <t>Intereses del nuevo credito</t>
  </si>
  <si>
    <t>7</t>
  </si>
  <si>
    <t>CALCULO INDICADORES</t>
  </si>
  <si>
    <t>7.1</t>
  </si>
  <si>
    <t>SALDO DEUDA CON NUEVO CREDITO = ( 4 + 6.1 - 6.2 )</t>
  </si>
  <si>
    <t>7.2</t>
  </si>
  <si>
    <t>TOTAL INTERESES   = ( 5 + 6.3 )</t>
  </si>
  <si>
    <t>154A</t>
  </si>
  <si>
    <t>SOLVENCIA = INTERESES / AHORRO OPERACIONAL  = ( 7.2 / 3 )</t>
  </si>
  <si>
    <t>155A</t>
  </si>
  <si>
    <t>SOSTENIBILIDAD = SALDO DEUDA / INGRESOS CORRIENTES  = (7.1 / 1 )</t>
  </si>
  <si>
    <t>156A</t>
  </si>
  <si>
    <t>ESTADO ACTUAL DE LA ENTIDAD (SEMÁFORO)</t>
  </si>
  <si>
    <t>RESUMEN</t>
  </si>
  <si>
    <t>DEPARTAMENTO O MUNICIPIO DE:</t>
  </si>
  <si>
    <t>CAPACIDAD DE ENDEUDAMIENTO</t>
  </si>
  <si>
    <t>Código</t>
  </si>
  <si>
    <t xml:space="preserve">SALDO DEUDA CON NUEVO CREDITO </t>
  </si>
  <si>
    <t>INTERESES DE LA DEUDA</t>
  </si>
  <si>
    <t>SOLVENCIA = INTERESES / AHORRO OPERACIONAL  = ( 5 / 3 )</t>
  </si>
  <si>
    <t>SOSTENIBILIDAD = SALDO DEUDA / INGRESOS CORRIENTES  = (4 / 1 )</t>
  </si>
  <si>
    <t>157A</t>
  </si>
  <si>
    <t>GERARDO HIVAN ROSERO ARGOTE</t>
  </si>
  <si>
    <t>Contador Municipio</t>
  </si>
  <si>
    <t>TP 109502-T</t>
  </si>
  <si>
    <t>Este valor se debe tomar del formato CGN 001-96 así: total pasivo menos deuda pública (Código 22) menos pasivos estimados (código 27) mas provisiones para prestaciones sociales (código 2715) menos obligaciones contraidas (código 0322)</t>
  </si>
  <si>
    <t>158A</t>
  </si>
  <si>
    <t xml:space="preserve">          Gastos   por pasivos de funcionamiento de vigencias anteriores</t>
  </si>
  <si>
    <t>159A</t>
  </si>
  <si>
    <t xml:space="preserve">                 Mesadas Pensionales </t>
  </si>
  <si>
    <t>160A</t>
  </si>
  <si>
    <t xml:space="preserve">                 Servicios Personales</t>
  </si>
  <si>
    <t>161A</t>
  </si>
  <si>
    <t xml:space="preserve">                 Transferencias de nómina </t>
  </si>
  <si>
    <t>162A</t>
  </si>
  <si>
    <t xml:space="preserve">                 Servicios personales indirectos </t>
  </si>
  <si>
    <t>163A</t>
  </si>
  <si>
    <t xml:space="preserve">                 Gastos Generales</t>
  </si>
  <si>
    <t>164A</t>
  </si>
  <si>
    <t xml:space="preserve">                 Indemnizaciones</t>
  </si>
  <si>
    <t>165A</t>
  </si>
  <si>
    <t xml:space="preserve">                 Otros gastos</t>
  </si>
  <si>
    <t>166A</t>
  </si>
  <si>
    <t xml:space="preserve">                 GRUPO 1</t>
  </si>
  <si>
    <t>167A</t>
  </si>
  <si>
    <t xml:space="preserve">                 GRUPO 2</t>
  </si>
  <si>
    <t>168A</t>
  </si>
  <si>
    <t xml:space="preserve">                 GRUPO 4</t>
  </si>
  <si>
    <t>169A</t>
  </si>
  <si>
    <t xml:space="preserve">         Gastos   por pasivos de inversión de vigencias anteriores</t>
  </si>
  <si>
    <t>170A</t>
  </si>
  <si>
    <t xml:space="preserve">                 En Educación</t>
  </si>
  <si>
    <t>171A</t>
  </si>
  <si>
    <t xml:space="preserve">                 En Salud</t>
  </si>
  <si>
    <t>172A</t>
  </si>
  <si>
    <t xml:space="preserve">                 En Agua potable y saneamiento básico</t>
  </si>
  <si>
    <t>173A</t>
  </si>
  <si>
    <t xml:space="preserve">                 En recreación, cultura u deporte</t>
  </si>
  <si>
    <t>174A</t>
  </si>
  <si>
    <t xml:space="preserve">                 En otros sectores</t>
  </si>
  <si>
    <t>175A</t>
  </si>
  <si>
    <t>176A</t>
  </si>
  <si>
    <t>177A</t>
  </si>
  <si>
    <t>DETALLE DE LA EJECUCION DE ACREENCIAS DEL PROGRAMA DE SANEAMIENTO FISCAL</t>
  </si>
  <si>
    <t>PROYECCION DEL PAGO DE LAS ACREENCIAS DEL PROGRAMA DE SANEAMIENTO FISCAL</t>
  </si>
  <si>
    <t xml:space="preserve"> GASTOS   POR PASIVOS DE FUNCIONAMIENTO DE VIGENCIAS ANTERIORES</t>
  </si>
  <si>
    <t xml:space="preserve">               Mesadas Pensionales </t>
  </si>
  <si>
    <t>159A1</t>
  </si>
  <si>
    <t>Déficit Fiscal Vigencia 2001 y siguientes</t>
  </si>
  <si>
    <t>159A2</t>
  </si>
  <si>
    <t>Déficit Fiscal Vigencia 2000 y Anteriores</t>
  </si>
  <si>
    <t xml:space="preserve">              Servicios Personales</t>
  </si>
  <si>
    <t>160A1</t>
  </si>
  <si>
    <t>160A2</t>
  </si>
  <si>
    <t xml:space="preserve">              Transferencias de nómina </t>
  </si>
  <si>
    <t>161A1</t>
  </si>
  <si>
    <t>161A2</t>
  </si>
  <si>
    <t xml:space="preserve">              Servicios personales indirectos </t>
  </si>
  <si>
    <t>162A1</t>
  </si>
  <si>
    <t>162A2</t>
  </si>
  <si>
    <t xml:space="preserve">              Gastos Generales</t>
  </si>
  <si>
    <t>163A1</t>
  </si>
  <si>
    <t>163A2</t>
  </si>
  <si>
    <t xml:space="preserve">               Indemnizaciones</t>
  </si>
  <si>
    <t>164A1</t>
  </si>
  <si>
    <t>164A2</t>
  </si>
  <si>
    <t xml:space="preserve">               Otros gastos</t>
  </si>
  <si>
    <t>165A1</t>
  </si>
  <si>
    <t>165A2</t>
  </si>
  <si>
    <t xml:space="preserve">               GRUPO 1</t>
  </si>
  <si>
    <t>166A1</t>
  </si>
  <si>
    <t>166A2</t>
  </si>
  <si>
    <t xml:space="preserve">               GRUPO 2</t>
  </si>
  <si>
    <t>167A1</t>
  </si>
  <si>
    <t>167A2</t>
  </si>
  <si>
    <t xml:space="preserve">               GRUPO 4</t>
  </si>
  <si>
    <t>168A1</t>
  </si>
  <si>
    <t>168A2</t>
  </si>
  <si>
    <t xml:space="preserve"> GASTOS   POR PASIVOS DE INVERSION DE VIGENCIAS ANTERIORES</t>
  </si>
  <si>
    <t>FUENTES Y USOS</t>
  </si>
  <si>
    <t>Vigencia fiscal</t>
  </si>
  <si>
    <t>Categoría</t>
  </si>
  <si>
    <t>Nit</t>
  </si>
  <si>
    <t>Ley 617 de 2000</t>
  </si>
  <si>
    <t>Ley 136 de 1994</t>
  </si>
  <si>
    <t>Ministerio de Hacienda</t>
  </si>
  <si>
    <t>En millones de pesos</t>
  </si>
  <si>
    <t>Código    CGR</t>
  </si>
  <si>
    <t>Presupuesto Definitivo    (2)</t>
  </si>
  <si>
    <t xml:space="preserve">Ejecución  al mes            </t>
  </si>
  <si>
    <t>(%) Ejecución frente a presupuesto  (3)/(2)</t>
  </si>
  <si>
    <t xml:space="preserve">(%) Ejecución frente a escenario </t>
  </si>
  <si>
    <t>220A</t>
  </si>
  <si>
    <t>1. FUENTES Y USOS DE LOS GASTOS DE FUNCIONAMIENTO</t>
  </si>
  <si>
    <t>221A</t>
  </si>
  <si>
    <t>A. INGRESOS CORRIENTES DE LIBRE DESTINACION</t>
  </si>
  <si>
    <t xml:space="preserve">  Ingresos Tributarios</t>
  </si>
  <si>
    <t>1110201</t>
  </si>
  <si>
    <t xml:space="preserve">    Impuesto Predial Unificado (Incluye Compensación por predial Resguardos Indigenas)</t>
  </si>
  <si>
    <t>1110101</t>
  </si>
  <si>
    <t>134A</t>
  </si>
  <si>
    <t xml:space="preserve">     Impuesto al Transporte de Hidrocarburos</t>
  </si>
  <si>
    <t>8A</t>
  </si>
  <si>
    <t xml:space="preserve">       Concejo y Personeria</t>
  </si>
  <si>
    <t xml:space="preserve">    Otros Tributarios</t>
  </si>
  <si>
    <t>222A</t>
  </si>
  <si>
    <t xml:space="preserve">    Menos Ingresos para el Fondo de Contingencia</t>
  </si>
  <si>
    <t xml:space="preserve">  Ingresos No Tributarios</t>
  </si>
  <si>
    <t>223A</t>
  </si>
  <si>
    <t>B. GASTOS FUNCIONAMIENTO NIVEL CENTRAL CON ICLD Y RECURSOS PROPIOS</t>
  </si>
  <si>
    <t xml:space="preserve">  Gastos de Personal</t>
  </si>
  <si>
    <t xml:space="preserve">  Gastos Generales</t>
  </si>
  <si>
    <t xml:space="preserve">  Transferencias</t>
  </si>
  <si>
    <t xml:space="preserve">  Déficit fiscal por funcionamiento</t>
  </si>
  <si>
    <t>224A</t>
  </si>
  <si>
    <t>C. GASTOS ORGANOS DE CONTROL</t>
  </si>
  <si>
    <t xml:space="preserve">  Concejo</t>
  </si>
  <si>
    <t xml:space="preserve">  Contraloría</t>
  </si>
  <si>
    <t xml:space="preserve">  Personería</t>
  </si>
  <si>
    <t>225A</t>
  </si>
  <si>
    <t>D. AHORRO DE ICLD DISPONIBLE PARA OTROS GASTOS (A-B-C)</t>
  </si>
  <si>
    <t>226A</t>
  </si>
  <si>
    <t>2. FUENTES Y USOS DE SECTORES DE  INVERSION</t>
  </si>
  <si>
    <t>227A</t>
  </si>
  <si>
    <t xml:space="preserve">       EDUCACIÓN</t>
  </si>
  <si>
    <t>228A</t>
  </si>
  <si>
    <t xml:space="preserve">          Ingresos</t>
  </si>
  <si>
    <t xml:space="preserve">            SGP</t>
  </si>
  <si>
    <t>229A</t>
  </si>
  <si>
    <t xml:space="preserve">          Gastos</t>
  </si>
  <si>
    <t>230A</t>
  </si>
  <si>
    <t xml:space="preserve">             Gastos operativos del sector (sueldos, prestaciones, subsidios y otros)</t>
  </si>
  <si>
    <t>231A</t>
  </si>
  <si>
    <t xml:space="preserve">             Formación Bruta de Capital</t>
  </si>
  <si>
    <t>232A</t>
  </si>
  <si>
    <t xml:space="preserve">             Superávit o déficit del sector</t>
  </si>
  <si>
    <t>233A</t>
  </si>
  <si>
    <t xml:space="preserve">       SALUD</t>
  </si>
  <si>
    <t>234A</t>
  </si>
  <si>
    <t>235A</t>
  </si>
  <si>
    <t xml:space="preserve">            Otros  (especificar)</t>
  </si>
  <si>
    <t>236A</t>
  </si>
  <si>
    <t>237A</t>
  </si>
  <si>
    <t>238A</t>
  </si>
  <si>
    <t>239A</t>
  </si>
  <si>
    <t>240A</t>
  </si>
  <si>
    <t xml:space="preserve">       AGUA POTABLE Y SANEAMIENTO BÁSICO</t>
  </si>
  <si>
    <t>241A</t>
  </si>
  <si>
    <t>242A</t>
  </si>
  <si>
    <t>243A</t>
  </si>
  <si>
    <t>244A</t>
  </si>
  <si>
    <t>245A</t>
  </si>
  <si>
    <t>246A</t>
  </si>
  <si>
    <t xml:space="preserve">       RECREACIÓN, CULTURA Y DEPORTE </t>
  </si>
  <si>
    <t>247A</t>
  </si>
  <si>
    <t>248A</t>
  </si>
  <si>
    <t>249A</t>
  </si>
  <si>
    <t>250A</t>
  </si>
  <si>
    <t>251A</t>
  </si>
  <si>
    <t>252A</t>
  </si>
  <si>
    <t xml:space="preserve">       OTROS INGRESOS PARA INVERSION Y TRANSFERIR</t>
  </si>
  <si>
    <t>253A</t>
  </si>
  <si>
    <t>254A</t>
  </si>
  <si>
    <t xml:space="preserve">        Tributarios con Destinación</t>
  </si>
  <si>
    <t xml:space="preserve">             Impuesto Predial Unificado (Incluye Compensación Predial Resguardos Indigenas)</t>
  </si>
  <si>
    <t xml:space="preserve">             Impuesto Circulación y Tránsito Servicios Públicos</t>
  </si>
  <si>
    <t xml:space="preserve">             Impuesto de Industria y Comercio</t>
  </si>
  <si>
    <t xml:space="preserve">             Sobretasa a la Gasolina</t>
  </si>
  <si>
    <t xml:space="preserve">             Impuesto al Transporte de Hidrocarburos</t>
  </si>
  <si>
    <t>255A</t>
  </si>
  <si>
    <t xml:space="preserve">             Otros Ingresos Tributarios</t>
  </si>
  <si>
    <t>256A</t>
  </si>
  <si>
    <t xml:space="preserve">        No Tributarios con destinación </t>
  </si>
  <si>
    <t xml:space="preserve">            S.G.P. Propósito General</t>
  </si>
  <si>
    <t xml:space="preserve">            S.G.P. Municipios Ribereños</t>
  </si>
  <si>
    <t>257A</t>
  </si>
  <si>
    <t xml:space="preserve">        Otros No tributarios con Destinación</t>
  </si>
  <si>
    <t>258A</t>
  </si>
  <si>
    <t xml:space="preserve">        % Venta/Activos para FONPET y 10% del SGP-PPTO-GRAL (Art. 49 Ley 863/03)</t>
  </si>
  <si>
    <t>259A</t>
  </si>
  <si>
    <t xml:space="preserve">        Ingresos de Capital</t>
  </si>
  <si>
    <t xml:space="preserve">            Fondo Nacional de Regalías -FNR-</t>
  </si>
  <si>
    <t>306A</t>
  </si>
  <si>
    <t xml:space="preserve">            Fondo de Ahorro y Estabilización Petrolera -FAEP-</t>
  </si>
  <si>
    <t>1120502010105</t>
  </si>
  <si>
    <t xml:space="preserve">            Regalías</t>
  </si>
  <si>
    <t>260A</t>
  </si>
  <si>
    <t xml:space="preserve">            Recursos del Crédito</t>
  </si>
  <si>
    <t xml:space="preserve">            Recursos del Balance</t>
  </si>
  <si>
    <t>305A</t>
  </si>
  <si>
    <t xml:space="preserve">            Rendimientos de Inversiones Financieras</t>
  </si>
  <si>
    <t xml:space="preserve">            Donaciones</t>
  </si>
  <si>
    <t xml:space="preserve">            Excedentes Financieros</t>
  </si>
  <si>
    <t xml:space="preserve">           Aprovechamientos</t>
  </si>
  <si>
    <t xml:space="preserve">           Otros Recursos de Capital</t>
  </si>
  <si>
    <t>262A</t>
  </si>
  <si>
    <t xml:space="preserve">       GASTOS DE INVERSION Y OTROS</t>
  </si>
  <si>
    <t>263A</t>
  </si>
  <si>
    <t xml:space="preserve">         Inversión</t>
  </si>
  <si>
    <t>264A</t>
  </si>
  <si>
    <t>265A</t>
  </si>
  <si>
    <t>266A</t>
  </si>
  <si>
    <t xml:space="preserve">        Otros Gastos</t>
  </si>
  <si>
    <t xml:space="preserve">             Indemnizaciones +Transf. a Bomberos, CAR y Otras con Rentas de Dest.Esp.</t>
  </si>
  <si>
    <t>267A</t>
  </si>
  <si>
    <t xml:space="preserve">        Superávit o déficit de Inversión</t>
  </si>
  <si>
    <t>268A</t>
  </si>
  <si>
    <t>E. AHORRO DE RDE DE INVERSIÓN  (suma los superávit o déficit sectoriales)</t>
  </si>
  <si>
    <t>269A</t>
  </si>
  <si>
    <t xml:space="preserve">3. FUENTES Y USOS DEL PROGRAMA DE AJUSTE </t>
  </si>
  <si>
    <t>270A</t>
  </si>
  <si>
    <t xml:space="preserve">       EN FUNCIONAMIENTO</t>
  </si>
  <si>
    <t>271A</t>
  </si>
  <si>
    <t xml:space="preserve">         Ingresos</t>
  </si>
  <si>
    <t xml:space="preserve">               Ahorro  de ICLD disponible para otros gastos (D)</t>
  </si>
  <si>
    <t>272A</t>
  </si>
  <si>
    <t xml:space="preserve">                Rentas  Reorientadas </t>
  </si>
  <si>
    <t xml:space="preserve">                  Sobretasa Gasolina</t>
  </si>
  <si>
    <t xml:space="preserve"> Cuentas por pagar al cierre de: ___________</t>
  </si>
  <si>
    <t xml:space="preserve">   Rendimiento de inversiones financieras</t>
  </si>
  <si>
    <t>Agua potable</t>
  </si>
  <si>
    <t>Deporte</t>
  </si>
  <si>
    <t>Cultura</t>
  </si>
  <si>
    <t>Libre Inversion</t>
  </si>
  <si>
    <t xml:space="preserve">      Libre inversion</t>
  </si>
  <si>
    <t>ALCALDIA MUNICIPAL DE LA VEGA</t>
  </si>
  <si>
    <t xml:space="preserve">MUNICIPIO DE LA VEGA </t>
  </si>
  <si>
    <t>NIT. 891.500.997 - 6</t>
  </si>
  <si>
    <t>VALORES EN MILES DE PESOS</t>
  </si>
  <si>
    <t>Pendiente de Recaudo</t>
  </si>
  <si>
    <t>Porcentaje Recaudado</t>
  </si>
  <si>
    <t xml:space="preserve">            Alimentacion escolar</t>
  </si>
  <si>
    <t xml:space="preserve">            rendimientos Financieros Fondo Educativo</t>
  </si>
  <si>
    <t xml:space="preserve">           Inversion con ICLD (Ley 617)</t>
  </si>
  <si>
    <t xml:space="preserve">            Inversion Convenio Fonade</t>
  </si>
  <si>
    <t xml:space="preserve">            Estampilla Pro - Deporte y Procultura</t>
  </si>
  <si>
    <t xml:space="preserve">            Inversion con ICLD (Ley 617)</t>
  </si>
  <si>
    <t xml:space="preserve">                   Impuesto al Transporte de Hidrocarburos</t>
  </si>
  <si>
    <t xml:space="preserve">                   Regalías </t>
  </si>
  <si>
    <t xml:space="preserve">                   Recuperación de Cartera</t>
  </si>
  <si>
    <t xml:space="preserve">                   Fondo de Ahorro y Estabilización Petrolera -FAEP-</t>
  </si>
  <si>
    <t xml:space="preserve">                   Rendimientos de Inversiones Financieras</t>
  </si>
  <si>
    <t xml:space="preserve">                   S.G.P. Próposito General (Otros Sectores 49%)</t>
  </si>
  <si>
    <t xml:space="preserve">                   S.G.P. Municipios Ribereños</t>
  </si>
  <si>
    <t>323A</t>
  </si>
  <si>
    <t xml:space="preserve">                 Crédito de ajuste</t>
  </si>
  <si>
    <t>274A</t>
  </si>
  <si>
    <t xml:space="preserve">          Reserva Fondo de Contingencias (sentencias, litigios,conciliaciones potenciales)</t>
  </si>
  <si>
    <t>275A</t>
  </si>
  <si>
    <t xml:space="preserve">          Ahorro disponible después de gastos por pasivos de funcionamiento</t>
  </si>
  <si>
    <t>276A</t>
  </si>
  <si>
    <t xml:space="preserve">      EN INVERSIÓN</t>
  </si>
  <si>
    <t>277A</t>
  </si>
  <si>
    <t xml:space="preserve">                 Ahorro disponible después de gastos por pasivos de funcionamiento</t>
  </si>
  <si>
    <t xml:space="preserve">                 Ahorro de RDE de inversión disponible para otros gastos (E)</t>
  </si>
  <si>
    <t>278A</t>
  </si>
  <si>
    <t xml:space="preserve">         Ahorro disponible después de gastos por pasivos de funcionamiento e inversión</t>
  </si>
  <si>
    <t>279A</t>
  </si>
  <si>
    <t>4. FUENTES Y USOS  EN SERVICIO DE LA DEUDA</t>
  </si>
  <si>
    <t>280A</t>
  </si>
  <si>
    <t xml:space="preserve">                 Ahorro disponible después de gastos por pasivos de funcionamiento e inversión</t>
  </si>
  <si>
    <t xml:space="preserve">         Gastos  por pago de servicio de deuda</t>
  </si>
  <si>
    <t>281A</t>
  </si>
  <si>
    <t>F. AHORRO FINAL SIN INCLUIR FONDO DE CONTINGENCIAS</t>
  </si>
  <si>
    <t>282A</t>
  </si>
  <si>
    <t xml:space="preserve">PROYECCION DE RENTAS </t>
  </si>
  <si>
    <t>ANEXO 03</t>
  </si>
  <si>
    <t>NIT. 891.500.997-6</t>
  </si>
  <si>
    <t>PROYECCION DE GASTOS</t>
  </si>
  <si>
    <t>ANEXO 04</t>
  </si>
  <si>
    <t>TESORERIA MUNICIPAL</t>
  </si>
  <si>
    <t>ANEXO 06</t>
  </si>
  <si>
    <t>BALANCE FINANCIERO PROYECTADO</t>
  </si>
  <si>
    <t>ANEXO 01</t>
  </si>
  <si>
    <t>ESTADO DE SUPERAVIT PRIMARIO Y AHORRO CORRIENTE PROYECTADO</t>
  </si>
  <si>
    <t>ANEXO 02</t>
  </si>
  <si>
    <t>CAPACIDAD DE ENDEUDAMIENTO PROYECTADA</t>
  </si>
  <si>
    <t>ANEXO 07</t>
  </si>
  <si>
    <t>INDICADORES DE LEY 617 DE 2000 PROYECTADA</t>
  </si>
  <si>
    <t>ANEXO 0</t>
  </si>
  <si>
    <t>ANEXO 05</t>
  </si>
  <si>
    <t>G. AHORRO FINAL INCLUYENDO FONDO DE CONTINGENCIAS</t>
  </si>
  <si>
    <t xml:space="preserve">Fuente: DAF con base en información de la Secretaría de Hacienda </t>
  </si>
  <si>
    <t>DETERMINACION DE LOS MONTOS DEL FONDO DE CONTINGENCIAS</t>
  </si>
  <si>
    <t>122A</t>
  </si>
  <si>
    <t>FONDO DE CONTINGENCIAS</t>
  </si>
  <si>
    <t>209A</t>
  </si>
  <si>
    <t>Ingresos Corrientes de Libre Destinación</t>
  </si>
  <si>
    <t xml:space="preserve">    Impuesto al Transporte de Hidrocarburos</t>
  </si>
  <si>
    <t xml:space="preserve">    Otros Ingresos Tributarios</t>
  </si>
  <si>
    <t>123A</t>
  </si>
  <si>
    <t xml:space="preserve">    Ahorro  de ICLD disponible para otros gastos (D)</t>
  </si>
  <si>
    <t>124A</t>
  </si>
  <si>
    <t xml:space="preserve">    Rentas  Reorientadas </t>
  </si>
  <si>
    <t>FUENTES Y USOS PROYECCIONES</t>
  </si>
  <si>
    <t xml:space="preserve">            Otros No tributarios con Destinación</t>
  </si>
  <si>
    <t>261A</t>
  </si>
  <si>
    <t xml:space="preserve">             Indemnizaciones + Transf. a Bomberos, CAR y Otras con Rentas de Dest.Esp.</t>
  </si>
  <si>
    <t>273A</t>
  </si>
  <si>
    <t xml:space="preserve">                   S.G.P. Propósito General (Otros Sectores 49%)</t>
  </si>
  <si>
    <t xml:space="preserve">    Sobretasa Ambiental ( O Participación del predial para las CAR)</t>
  </si>
  <si>
    <t>PORCENTAJE DE RENTAS A REORIENTAR Y FONDO DE CONTINGENCIAS</t>
  </si>
  <si>
    <t>RENTAS REORIENTADAS</t>
  </si>
  <si>
    <t>Sobretasa a la Gasolina</t>
  </si>
  <si>
    <t>Impuesto al Transporte de Hidrocarburos</t>
  </si>
  <si>
    <t>Regalías</t>
  </si>
  <si>
    <t>Recuperación de Cartera</t>
  </si>
  <si>
    <t>S.G.P Propósito General (Otros Sectores 49%)</t>
  </si>
  <si>
    <t>S.G.P Municipios Ribereños</t>
  </si>
  <si>
    <t>Rendimientos de Operaciones Financieras</t>
  </si>
  <si>
    <t>Fondo de Ahorro y Estabilización Petrolera -FAEP-</t>
  </si>
  <si>
    <t>VECTOR RESULTADO</t>
  </si>
  <si>
    <t xml:space="preserve">Municipio de </t>
  </si>
  <si>
    <t>ICLD base para ley 617 DE 2.000</t>
  </si>
  <si>
    <t xml:space="preserve">Gastos base para Ley 617 de 2.000 </t>
  </si>
  <si>
    <t>315A</t>
  </si>
  <si>
    <t>RELACIÓN GF/ICLD</t>
  </si>
  <si>
    <t>316A</t>
  </si>
  <si>
    <t>LÍMITE ESTABLECIDO POR LA LEY 617</t>
  </si>
  <si>
    <t>317A</t>
  </si>
  <si>
    <t>DIFERENCIA</t>
  </si>
  <si>
    <t>DATOS  DE LA ENTIDAD</t>
  </si>
  <si>
    <t>Número de Concejales</t>
  </si>
  <si>
    <t>Número de Sesiones</t>
  </si>
  <si>
    <t>Salario diario del Alcalde</t>
  </si>
  <si>
    <t xml:space="preserve">Salario Mínimo </t>
  </si>
  <si>
    <t>TRANSFERENCIAS AL CONCEJO</t>
  </si>
  <si>
    <t>TRANSFERENCIA REALIZADA</t>
  </si>
  <si>
    <t>333A</t>
  </si>
  <si>
    <t>LÍMITE ESTABLECIDO POR LA LEY 617.</t>
  </si>
  <si>
    <t>334A</t>
  </si>
  <si>
    <t>Remuneración Concejales</t>
  </si>
  <si>
    <t>335A</t>
  </si>
  <si>
    <t>336A</t>
  </si>
  <si>
    <t>TIENE CONTRALORIA</t>
  </si>
  <si>
    <t>En millones de $</t>
  </si>
  <si>
    <t>TRANSFERENCIAS A  CONTRALORÍA</t>
  </si>
  <si>
    <t>1. TRANSFERENCIA REALIZADA</t>
  </si>
  <si>
    <t>324A</t>
  </si>
  <si>
    <t>3. DIFERENCIA</t>
  </si>
  <si>
    <t>1/. Toma en cuenta lo establecido por la ley 617 de 2.000, modificada por la ley 716 de 2001 (art. 17)</t>
  </si>
  <si>
    <t>TRANSFERENCIAS A PERSONERIA</t>
  </si>
  <si>
    <t>337A</t>
  </si>
  <si>
    <t>LÍMITE ESTABLECIDO POR LA LEY (__% de los ICLD)</t>
  </si>
  <si>
    <t>338A</t>
  </si>
  <si>
    <t>1/. Toma en cuenta lo establecido por la ley 549  de 1.999.</t>
  </si>
  <si>
    <t>MUNICIPIO DE</t>
  </si>
  <si>
    <t xml:space="preserve">EJECUCIONES VIGENCIA </t>
  </si>
  <si>
    <t>VIGENCIA ACTUAL  Ley 358/97</t>
  </si>
  <si>
    <t>VIGENCIA ACTUAL  Capacidad de Pago Real</t>
  </si>
  <si>
    <t>Fuente: Cálculos DAF con base en información de la Secretaría de Hacienda Municipal</t>
  </si>
  <si>
    <t>339A</t>
  </si>
  <si>
    <t>GASTOS DE FUNCIONAMIENTO (Sector Central + Organismos de Control)</t>
  </si>
  <si>
    <t>NIVEL CENTRAL</t>
  </si>
  <si>
    <t>340A</t>
  </si>
  <si>
    <t>ORGANOS DE CONTROL</t>
  </si>
  <si>
    <t>INGRESOS CORRIENTES DE LIBRE DESTINACIÓN</t>
  </si>
  <si>
    <t>329A</t>
  </si>
  <si>
    <t xml:space="preserve">    RELACIÓN PORCENTUAL (1/2)</t>
  </si>
  <si>
    <t>330A</t>
  </si>
  <si>
    <t>LIMITE ESTABLECIDO EN EL PROGRAMA O ACUERDO</t>
  </si>
  <si>
    <t>331A</t>
  </si>
  <si>
    <t>limite a concejo</t>
  </si>
  <si>
    <t>60 SMLV</t>
  </si>
  <si>
    <t>CATEGORIA</t>
  </si>
  <si>
    <t>% GTO FTO MPIO</t>
  </si>
  <si>
    <t>% CONSEJO</t>
  </si>
  <si>
    <t>% CONTRALORIA</t>
  </si>
  <si>
    <t>PERSONERIA</t>
  </si>
  <si>
    <t>AÑO IPC</t>
  </si>
  <si>
    <t>IPC</t>
  </si>
  <si>
    <t>limite b concejo</t>
  </si>
  <si>
    <t>1,5% DE ICLD</t>
  </si>
  <si>
    <t>contralorias</t>
  </si>
  <si>
    <t>VARIACIÓN DE LAS CUENTAS POR PAGAR</t>
  </si>
  <si>
    <t>DEPARTAMENTO O MUNICIPIO DE</t>
  </si>
  <si>
    <t>FECHA DE ACTUALIZACIÓN:</t>
  </si>
  <si>
    <t>FECHA DE CORTE ESTADO DE INVENTARIO E INVENTARIO DE ACREENCIAS (LEY 550/99):</t>
  </si>
  <si>
    <t>Año: _____________</t>
  </si>
  <si>
    <t>SECTOR</t>
  </si>
  <si>
    <t>Saldo a: ___________  (Fecha de corte Estado de Inventario-Ley 550/99)</t>
  </si>
  <si>
    <t>Valor cancelado al cierre de la primera vigencia de ejecución del Programa</t>
  </si>
  <si>
    <t>Saldo que pasa para la siguiente vigencia</t>
  </si>
  <si>
    <t>Nuevo Déficit generado durante la primera vigencia de ejecución del Programa</t>
  </si>
  <si>
    <t>Saldo acumulado</t>
  </si>
  <si>
    <t>Valor cancelado al cierre de la segunda vigencia de ejecución del Programa</t>
  </si>
  <si>
    <t>Saldo después de pagos</t>
  </si>
  <si>
    <t>Nuevo Déficit generado durante la segunda vigencia de ejecución del Programa</t>
  </si>
  <si>
    <t xml:space="preserve">Saldo acumulado </t>
  </si>
  <si>
    <t>Directamente (sin tener en cuenta orden judicial)</t>
  </si>
  <si>
    <t>A través de fideicomiso (sin tener en cuenta orden judicial y/o crédito de ajuste)</t>
  </si>
  <si>
    <t>Por orden judicial</t>
  </si>
  <si>
    <t xml:space="preserve">  ADMINISTRACION CENTRAL</t>
  </si>
  <si>
    <t xml:space="preserve">              Ampliacion Esfuerzo Municipal</t>
  </si>
  <si>
    <t xml:space="preserve">             Rendimientos financieros </t>
  </si>
  <si>
    <t xml:space="preserve">    Degüello de Ganado Mayor</t>
  </si>
  <si>
    <t xml:space="preserve">   Deguello de ganado mayor</t>
  </si>
  <si>
    <t>Cruce de cuentas y/o compensaciones</t>
  </si>
  <si>
    <t>Con crédito de ajuste</t>
  </si>
  <si>
    <t>TOTAL</t>
  </si>
  <si>
    <t>A</t>
  </si>
  <si>
    <t>B</t>
  </si>
  <si>
    <t>C=A-B</t>
  </si>
  <si>
    <t>D</t>
  </si>
  <si>
    <t>E=C+D</t>
  </si>
  <si>
    <t>F</t>
  </si>
  <si>
    <t>G=E-F</t>
  </si>
  <si>
    <t>H</t>
  </si>
  <si>
    <t>G+H</t>
  </si>
  <si>
    <t>178A</t>
  </si>
  <si>
    <t>179A</t>
  </si>
  <si>
    <t>MESADAS PENSIONALES</t>
  </si>
  <si>
    <t>180A</t>
  </si>
  <si>
    <t>SERVICIOS PERSONALES</t>
  </si>
  <si>
    <t>181A</t>
  </si>
  <si>
    <t>TRANSFERENCIAS DE NOMINA</t>
  </si>
  <si>
    <t>182A</t>
  </si>
  <si>
    <t>183A</t>
  </si>
  <si>
    <t xml:space="preserve">OTRAS TRANSFERENCIAS </t>
  </si>
  <si>
    <t>184A</t>
  </si>
  <si>
    <t>SUBTOTAL</t>
  </si>
  <si>
    <t>185A</t>
  </si>
  <si>
    <t>INVERSIÓN</t>
  </si>
  <si>
    <t>186A</t>
  </si>
  <si>
    <t>SALUD</t>
  </si>
  <si>
    <t>187A</t>
  </si>
  <si>
    <t>EDUCACIÓN</t>
  </si>
  <si>
    <t>188A</t>
  </si>
  <si>
    <t>Industria y comercio</t>
  </si>
  <si>
    <t>Plaza de Mercado</t>
  </si>
  <si>
    <t>Papeleria y Constancias</t>
  </si>
  <si>
    <t>ESTAMPILLAS</t>
  </si>
  <si>
    <t>SGP EDUCACION</t>
  </si>
  <si>
    <t>SGP SALUD</t>
  </si>
  <si>
    <t>SGP PROPOSITO GENERAL</t>
  </si>
  <si>
    <t>AÑO</t>
  </si>
  <si>
    <t>RECAUDO</t>
  </si>
  <si>
    <t>PUBLICACIONES</t>
  </si>
  <si>
    <t>AGUA POTABLE</t>
  </si>
  <si>
    <t>189A</t>
  </si>
  <si>
    <t>DEPORTE, RECREACIÓN Y CULTURA</t>
  </si>
  <si>
    <t>190A</t>
  </si>
  <si>
    <t>OTROS SECTORES</t>
  </si>
  <si>
    <t>191A</t>
  </si>
  <si>
    <t>192A</t>
  </si>
  <si>
    <t>1.  TOTAL</t>
  </si>
  <si>
    <t>Millones de $</t>
  </si>
  <si>
    <t>ACREENCIAS NO INCORPORADAS EN EL PROGRAMA DE SANEAMIENTO FISCAL Y FINANCIERO (CAUSADAS CON ANTERIORIDAD A LA FECHA DE CORTE DEL ESTADO DE INVENTARIO-LEY 550 DE 1999)</t>
  </si>
  <si>
    <t xml:space="preserve">Valor </t>
  </si>
  <si>
    <t>Pagos</t>
  </si>
  <si>
    <t>Saldo</t>
  </si>
  <si>
    <t>Por otra razón (Especificar)</t>
  </si>
  <si>
    <t>193A</t>
  </si>
  <si>
    <t>194A</t>
  </si>
  <si>
    <t>195A</t>
  </si>
  <si>
    <t>196A</t>
  </si>
  <si>
    <t>197A</t>
  </si>
  <si>
    <t>198A</t>
  </si>
  <si>
    <t>199A</t>
  </si>
  <si>
    <t>200A</t>
  </si>
  <si>
    <t>201A</t>
  </si>
  <si>
    <t>Fecha de Inicio del Analisis:</t>
  </si>
  <si>
    <t>Fecha de Terminación de las Proyecciones:</t>
  </si>
  <si>
    <t>FORMATO_DAF_VERSION_2.0_AGOSTO_10_2005</t>
  </si>
  <si>
    <t>202A</t>
  </si>
  <si>
    <t>203A</t>
  </si>
  <si>
    <t>204A</t>
  </si>
  <si>
    <t>RECREACIÓN Y CULTURA</t>
  </si>
  <si>
    <t>205A</t>
  </si>
  <si>
    <t>206A</t>
  </si>
  <si>
    <t>207A</t>
  </si>
  <si>
    <t>2.  TOTAL ACREENCIAS NO INCORPORADAS EN EL ACUERDO DE REESTRUCTURACIÓN DE PASIVOS</t>
  </si>
  <si>
    <t>208A</t>
  </si>
  <si>
    <t>SALDO ACTUAL TOTAL</t>
  </si>
  <si>
    <t>CRITERIOS DE VIABILIDAD FINANCIERA DE LOS MUNICIPIOS</t>
  </si>
  <si>
    <t>Déficit o Ahorro Corriente / IC</t>
  </si>
  <si>
    <t>Déficit o Superávit Primario / IC</t>
  </si>
  <si>
    <t>Amortización  Máxima / Saldo</t>
  </si>
  <si>
    <t>Cuentas por Pagar / IC</t>
  </si>
  <si>
    <t>Semáforo Ley 358/99</t>
  </si>
  <si>
    <t>Cumplimiento Ley 617</t>
  </si>
  <si>
    <t>Programa de Ajuste</t>
  </si>
  <si>
    <t>Evaluación</t>
  </si>
  <si>
    <t>Cumple</t>
  </si>
  <si>
    <t>Incumple</t>
  </si>
  <si>
    <t>Nivel de Desempeño</t>
  </si>
  <si>
    <t>CALIFIQUE (1,2,3,4) DE ACUERDO CON LAS CARACTERÍSTICAS SEÑALADAS EN LA TABLA DE ABAJO</t>
  </si>
  <si>
    <t>DESCRIPCIÓN DE LOS CRITERIOS</t>
  </si>
  <si>
    <t>NIVEL DE DESEMPEÑO 1</t>
  </si>
  <si>
    <t>NIVEL DE DESEMPEÑO 2</t>
  </si>
  <si>
    <t>NIVEL DE DESEMPEÑO 3</t>
  </si>
  <si>
    <t>NIVEL DE DESEMPEÑO 4</t>
  </si>
  <si>
    <t>AHORRO CORRIENTE</t>
  </si>
  <si>
    <t>POSITIVO Y MAYOR A 50% DE LOS IC</t>
  </si>
  <si>
    <t>POSITIVO PERO MENOR A 50% DE LOS IC</t>
  </si>
  <si>
    <t>NEGATIVO</t>
  </si>
  <si>
    <t>SUPERÁVIT PRIMARIO</t>
  </si>
  <si>
    <t>POSITIVO Y SUFICIENTE PARA SERVIR INTERESES Y AMORTIZACIONES DE LA DEUDA</t>
  </si>
  <si>
    <t>POSITIVO E INSUFICIENTE PARA SERVIR INTERESES PERO NO PARA SERVIR AMORTIZACIONES D ELA DEUDA</t>
  </si>
  <si>
    <t>POSITIVO PERO INSUFICIENTE PARA PAGAR LOS INTERESES DE LA DEUDA</t>
  </si>
  <si>
    <t>SEMÁFORO LEY 358</t>
  </si>
  <si>
    <t>VERDE</t>
  </si>
  <si>
    <t>ROJO</t>
  </si>
  <si>
    <t xml:space="preserve">CUMPLIMIENTO DE LEY 617 </t>
  </si>
  <si>
    <t>CUMPLE EN EL NIVEL CENTRAL</t>
  </si>
  <si>
    <t>INCUMPLE</t>
  </si>
  <si>
    <t>CUMPLE</t>
  </si>
  <si>
    <t>CONCENTRACIÓN DE AMORTIZACIONES DE DEUDA</t>
  </si>
  <si>
    <t>MÁS DEL 15% EN ALGÚN AÑO</t>
  </si>
  <si>
    <t>MÁS DEL 20% EN ALGÚN AÑO</t>
  </si>
  <si>
    <t>SALDO DE CUENTAS POR PAGAR</t>
  </si>
  <si>
    <t>MENOR AL 15% DE LOS IC</t>
  </si>
  <si>
    <t>ENTRE EL 15 Y EL 30% DE LOS IC</t>
  </si>
  <si>
    <t>ENTRE EL 30% Y EL 50% DE LOS IC</t>
  </si>
  <si>
    <t>MAYOR AL 50% DE LOS IC</t>
  </si>
  <si>
    <t>PROGRAMA DE AJUSTE</t>
  </si>
  <si>
    <t>SI Y CUMPLIÉNDOLO</t>
  </si>
  <si>
    <t>SIN PROGRAMA O CON PROGRAMA PERO INCUMPLIÉNDOLO</t>
  </si>
  <si>
    <t>DIRECCIÓN GENERAL DE APOYO FISCAL</t>
  </si>
  <si>
    <t>MINISTERIO DE HACIENDA Y CRÉDITO PÚBLICO</t>
  </si>
  <si>
    <t>Código:</t>
  </si>
  <si>
    <t>Entidad Territorial</t>
  </si>
  <si>
    <t>Vigencia fiscal:</t>
  </si>
  <si>
    <t>Mes (1, 2, - 12, 0 = Anual):</t>
  </si>
  <si>
    <t>Categoría:</t>
  </si>
  <si>
    <t>Nit:</t>
  </si>
  <si>
    <t>Opción por la cuál se categorizó en la vigencia anterior (digite una X sobre la opción respectiva):</t>
  </si>
  <si>
    <t>Ley 617 de 2000:</t>
  </si>
  <si>
    <t>Ley 136 de 1994:</t>
  </si>
  <si>
    <t>MinHacienda:</t>
  </si>
  <si>
    <t>Programa de Saneamiento Fiscal (digite una X si está en saneamiento fiscal, sino deje en blanco)</t>
  </si>
  <si>
    <t>Fecha de Inicio del Convenio:</t>
  </si>
  <si>
    <t>Acuerdo de Reestructuración de Pasivos Ley 550/99 (Escoger opción de la lista)</t>
  </si>
  <si>
    <t>Fecha de Terminación del Convenio:</t>
  </si>
  <si>
    <t>Código  CGR</t>
  </si>
  <si>
    <t>CONCEPTOS</t>
  </si>
  <si>
    <t>Presupuesto Inicial</t>
  </si>
  <si>
    <t xml:space="preserve">Presupuesto Definitivo   </t>
  </si>
  <si>
    <t>Modificaciones Acumuladas</t>
  </si>
  <si>
    <t>Recaudo del mes</t>
  </si>
  <si>
    <t>Recaudos acumulados al mes</t>
  </si>
  <si>
    <t>Ejecución / Presupuesto</t>
  </si>
  <si>
    <t>Recaudos Acumulados al mismo mes del año anterior</t>
  </si>
  <si>
    <t>(%) Incremento</t>
  </si>
  <si>
    <t>(%) Ejecución frente a escenario</t>
  </si>
  <si>
    <t>Recaudos Acumulados a Diciembre del año anterior (CAPACIDAD DE PAGO)</t>
  </si>
  <si>
    <t>1</t>
  </si>
  <si>
    <t>INGRESOS</t>
  </si>
  <si>
    <t>11</t>
  </si>
  <si>
    <t xml:space="preserve"> INGRESOS CORRIENTES</t>
  </si>
  <si>
    <t>111</t>
  </si>
  <si>
    <t xml:space="preserve">  TRIBUTARIOS</t>
  </si>
  <si>
    <t>1110103</t>
  </si>
  <si>
    <t xml:space="preserve">    Impuesto Predial Unificado (Incluye Compensación por predial de Resguardos Indigenas)</t>
  </si>
  <si>
    <t>1110105</t>
  </si>
  <si>
    <t xml:space="preserve">    Sobretasa Ambiental ( O Participación dsel predial para las CAR)</t>
  </si>
  <si>
    <t>307A</t>
  </si>
  <si>
    <t xml:space="preserve">    Impuesto de Circulación y Tránsito Servicio Público</t>
  </si>
  <si>
    <t>1110205</t>
  </si>
  <si>
    <t xml:space="preserve">    Impuesto de Industria y Comercio</t>
  </si>
  <si>
    <t>1110216</t>
  </si>
  <si>
    <t xml:space="preserve">    Sobretasa a la Gasolina</t>
  </si>
  <si>
    <t>1110208</t>
  </si>
  <si>
    <t xml:space="preserve">    Impuesto de Espectáculos Públicos</t>
  </si>
  <si>
    <t>1110211</t>
  </si>
  <si>
    <t xml:space="preserve">    Impuesto sobre Rifas y Apuestas</t>
  </si>
  <si>
    <t>1110206</t>
  </si>
  <si>
    <t>1110212</t>
  </si>
  <si>
    <t xml:space="preserve">    Impuesto de Deguello de Ganado Menor</t>
  </si>
  <si>
    <t>1110207</t>
  </si>
  <si>
    <t>1120103</t>
  </si>
  <si>
    <t>11205020810</t>
  </si>
  <si>
    <t xml:space="preserve">    Impuesto al Transporte Hidrocarburos</t>
  </si>
  <si>
    <t>1110217</t>
  </si>
  <si>
    <t xml:space="preserve">  Estampillas</t>
  </si>
  <si>
    <t>111021701</t>
  </si>
  <si>
    <t>111021702</t>
  </si>
  <si>
    <t>111021703</t>
  </si>
  <si>
    <t xml:space="preserve">   Estampilla Pro-Electrificacion Rural</t>
  </si>
  <si>
    <t>111021704</t>
  </si>
  <si>
    <t xml:space="preserve">   Estampillas Pro-Turismo</t>
  </si>
  <si>
    <t>111021798</t>
  </si>
  <si>
    <t xml:space="preserve">   Otras Estampillas</t>
  </si>
  <si>
    <t>1110215</t>
  </si>
  <si>
    <t xml:space="preserve">    Sobretasa Bomberil</t>
  </si>
  <si>
    <t>308A</t>
  </si>
  <si>
    <t xml:space="preserve">   Otros Ingresos Tributarios</t>
  </si>
  <si>
    <t>112</t>
  </si>
  <si>
    <t xml:space="preserve">      Fondos especiales</t>
  </si>
  <si>
    <t xml:space="preserve">  NO TRIBUTARIOS</t>
  </si>
  <si>
    <t>11201</t>
  </si>
  <si>
    <t xml:space="preserve">    Tasas y Multas</t>
  </si>
  <si>
    <t>11202</t>
  </si>
  <si>
    <t>11203</t>
  </si>
  <si>
    <t xml:space="preserve">    Alquiler de Maquinaria y Equipo</t>
  </si>
  <si>
    <t>11204</t>
  </si>
  <si>
    <t xml:space="preserve">    Contribuciones</t>
  </si>
  <si>
    <t>1120401</t>
  </si>
  <si>
    <t xml:space="preserve">      Contribución por Valorización</t>
  </si>
  <si>
    <t>1120498</t>
  </si>
  <si>
    <t xml:space="preserve">      Otras Contribuciones</t>
  </si>
  <si>
    <t>11205</t>
  </si>
  <si>
    <t xml:space="preserve">   Transferencias</t>
  </si>
  <si>
    <t>1120501</t>
  </si>
  <si>
    <t xml:space="preserve">      Transferencias Corrientes (Para Funcionamiento)</t>
  </si>
  <si>
    <t>1120501010101</t>
  </si>
  <si>
    <t xml:space="preserve">            Sistema General de Participaciones - Propósito General (Libre Destinación)</t>
  </si>
  <si>
    <t>112050108</t>
  </si>
  <si>
    <t xml:space="preserve">        Cuota de Auditaje</t>
  </si>
  <si>
    <t>1120502</t>
  </si>
  <si>
    <t xml:space="preserve">      Transferencias de Capital (Para Inversión)</t>
  </si>
  <si>
    <t>1120502010101</t>
  </si>
  <si>
    <t xml:space="preserve">            Sistema General de Participaciones -Educación-</t>
  </si>
  <si>
    <t>112050201010101</t>
  </si>
  <si>
    <t xml:space="preserve">              S. G. P. Educación - Prestación de Servicios</t>
  </si>
  <si>
    <t>112050201010102</t>
  </si>
  <si>
    <t xml:space="preserve">              S. G. P. Educación - Aportes Patronales (Calidad)</t>
  </si>
  <si>
    <t>1120502010102</t>
  </si>
  <si>
    <t xml:space="preserve">            Sistema General de Participaciones -Salud-</t>
  </si>
  <si>
    <t>112050201010201</t>
  </si>
  <si>
    <t xml:space="preserve">              S. G. P. Salud - Subsidio Demanda</t>
  </si>
  <si>
    <t>112050201010202</t>
  </si>
  <si>
    <t xml:space="preserve">              S. G. P. Salud - Subsidio Oferta</t>
  </si>
  <si>
    <t>112050201010203</t>
  </si>
  <si>
    <t xml:space="preserve">              S. G. P. Salud - Plan de Atención Básica (Pab)</t>
  </si>
  <si>
    <t>112050201010204</t>
  </si>
  <si>
    <t xml:space="preserve">              S. G. P. Salud - Aportes Patronales</t>
  </si>
  <si>
    <t>112050201010205</t>
  </si>
  <si>
    <t xml:space="preserve">              S. G. P. Salud - Prestación de Servicios</t>
  </si>
  <si>
    <t>1120502010103</t>
  </si>
  <si>
    <t xml:space="preserve">            Sistema General de Participaciones Propósito General (Forsoza Inversión)</t>
  </si>
  <si>
    <t>6A</t>
  </si>
  <si>
    <t xml:space="preserve">     Sistema General  de Participaciones-Alimentación Escolar</t>
  </si>
  <si>
    <t>7A</t>
  </si>
  <si>
    <t xml:space="preserve">   Estampilla Pro-Cultura</t>
  </si>
  <si>
    <t xml:space="preserve">   Estampilla Pro-Deporte</t>
  </si>
  <si>
    <t>MUNICIPIO DE LA VEGA</t>
  </si>
  <si>
    <t xml:space="preserve">    Extraccion de material de rio (Arena, cascajo y piedra)</t>
  </si>
  <si>
    <t xml:space="preserve">    Plaza de mercado</t>
  </si>
  <si>
    <t xml:space="preserve">    Impuesto de Deguello de Ganado Mayor</t>
  </si>
  <si>
    <t xml:space="preserve">   Registro de Marcas y Herretes</t>
  </si>
  <si>
    <t xml:space="preserve">     Inscripcion de contratistas</t>
  </si>
  <si>
    <t xml:space="preserve">      Rendimientos de Operaciones Financieras</t>
  </si>
  <si>
    <t xml:space="preserve">      Cofinanciación</t>
  </si>
  <si>
    <t xml:space="preserve">    Plaza de Mercado</t>
  </si>
  <si>
    <t xml:space="preserve">   Registro de marcas y herretes</t>
  </si>
  <si>
    <t xml:space="preserve">   Extracion de material de rio (arena, cascajo y piedras)</t>
  </si>
  <si>
    <t xml:space="preserve">    Inscripcion de contratistas</t>
  </si>
  <si>
    <t xml:space="preserve">    Extraccion de material de rio (arena, cascajo y piedra)</t>
  </si>
  <si>
    <t xml:space="preserve">        Aportes Previsión Social (A.R.P)</t>
  </si>
  <si>
    <t xml:space="preserve">        Aportes Previsión Social (Salud y Pension)</t>
  </si>
  <si>
    <t xml:space="preserve">      Prestacion de servicios</t>
  </si>
  <si>
    <t xml:space="preserve">        Aportes Parafiscales (9%)</t>
  </si>
  <si>
    <t xml:space="preserve">   Otras Transferencias</t>
  </si>
  <si>
    <t xml:space="preserve">   Mesadas Pensionales</t>
  </si>
  <si>
    <t xml:space="preserve">   Cuentas por pagar vigencias anteriores</t>
  </si>
  <si>
    <t xml:space="preserve">       Medio Ambiente</t>
  </si>
  <si>
    <t xml:space="preserve">      Equipamento Municipal</t>
  </si>
  <si>
    <t xml:space="preserve">      Medio Ambiente</t>
  </si>
  <si>
    <t xml:space="preserve">      Desarrollo Institucional</t>
  </si>
  <si>
    <t xml:space="preserve">      Prevencion y atencion de desastres</t>
  </si>
  <si>
    <t xml:space="preserve">      Atencion a grupos vulnerables</t>
  </si>
  <si>
    <t xml:space="preserve">      Honorarios </t>
  </si>
  <si>
    <t xml:space="preserve">             Gastos operativos del sector </t>
  </si>
  <si>
    <t xml:space="preserve">            Rendimientos de Operaciones Financieras</t>
  </si>
  <si>
    <t xml:space="preserve">     Sistema General  de Participaciones-Municipios Ribereños Rio Magdalena</t>
  </si>
  <si>
    <t>1120502010198</t>
  </si>
  <si>
    <t xml:space="preserve">            Otras Transferencias del Nivel Central Nacional</t>
  </si>
  <si>
    <t>11205020102</t>
  </si>
  <si>
    <t xml:space="preserve">          Empresa para la Salud -ETESA-</t>
  </si>
  <si>
    <t>11205020103</t>
  </si>
  <si>
    <t xml:space="preserve">          Fondo de Solidaridad y Garantías -FOSYGA-</t>
  </si>
  <si>
    <t>11205020198</t>
  </si>
  <si>
    <t xml:space="preserve">          Otras Transferencias del Nivel Nacional</t>
  </si>
  <si>
    <t>112050202</t>
  </si>
  <si>
    <t xml:space="preserve">        Del Nivel Departamental</t>
  </si>
  <si>
    <t>1120501020101</t>
  </si>
  <si>
    <t xml:space="preserve">            De Vehículos Automotores</t>
  </si>
  <si>
    <t>11205020806</t>
  </si>
  <si>
    <t xml:space="preserve">          Degüello de Ganado Mayor</t>
  </si>
  <si>
    <t>11205010298</t>
  </si>
  <si>
    <t xml:space="preserve">          Otras Transferencias del Nivel Departamental</t>
  </si>
  <si>
    <t>11206</t>
  </si>
  <si>
    <t xml:space="preserve">    Fondos Especiales</t>
  </si>
  <si>
    <t>1120601</t>
  </si>
  <si>
    <t xml:space="preserve">      Fondos para Previsión Social</t>
  </si>
  <si>
    <t>1120605</t>
  </si>
  <si>
    <t xml:space="preserve">      Fondo de Seguridad (5% Contratos) -Ley 418/97-</t>
  </si>
  <si>
    <t>5A</t>
  </si>
  <si>
    <t xml:space="preserve">      Otros Fondos Especiales</t>
  </si>
  <si>
    <t>11298</t>
  </si>
  <si>
    <t xml:space="preserve">    Otros Ingresos No Tributarios</t>
  </si>
  <si>
    <t>12</t>
  </si>
  <si>
    <t xml:space="preserve"> INGRESOS DE CAPITAL</t>
  </si>
  <si>
    <t>11205020104</t>
  </si>
  <si>
    <t>309A</t>
  </si>
  <si>
    <t xml:space="preserve">            Cofinanciación</t>
  </si>
  <si>
    <t>112050207</t>
  </si>
  <si>
    <t xml:space="preserve">        Regalías</t>
  </si>
  <si>
    <t>11205020701</t>
  </si>
  <si>
    <t xml:space="preserve">          Regalías Petrolíferas</t>
  </si>
  <si>
    <t>11205020702</t>
  </si>
  <si>
    <t xml:space="preserve">          Regalías Carboníferas</t>
  </si>
  <si>
    <t>11205020703</t>
  </si>
  <si>
    <t xml:space="preserve">          Regalías por Gas Natural</t>
  </si>
  <si>
    <t>11205020704</t>
  </si>
  <si>
    <t xml:space="preserve">          Regalías Niquel</t>
  </si>
  <si>
    <t>11205020708</t>
  </si>
  <si>
    <t xml:space="preserve">          Oro Físico</t>
  </si>
  <si>
    <t>11205020706</t>
  </si>
  <si>
    <t xml:space="preserve">          Explotación Esmeraldas</t>
  </si>
  <si>
    <t>11205020707</t>
  </si>
  <si>
    <t xml:space="preserve">          Salinas</t>
  </si>
  <si>
    <t>310A</t>
  </si>
  <si>
    <t xml:space="preserve">          Otras Regalías</t>
  </si>
  <si>
    <t>121</t>
  </si>
  <si>
    <t xml:space="preserve">  RECURSOS DEL CRÉDITO</t>
  </si>
  <si>
    <t>12101</t>
  </si>
  <si>
    <t xml:space="preserve">    Interno</t>
  </si>
  <si>
    <t>1210101</t>
  </si>
  <si>
    <t xml:space="preserve">      Del Sector Financiero</t>
  </si>
  <si>
    <t>121010101</t>
  </si>
  <si>
    <t xml:space="preserve">        Findeter</t>
  </si>
  <si>
    <t>121010102</t>
  </si>
  <si>
    <t xml:space="preserve">        Fonade</t>
  </si>
  <si>
    <t>121010103</t>
  </si>
  <si>
    <t xml:space="preserve">        Banca Comercial</t>
  </si>
  <si>
    <t>121010104</t>
  </si>
  <si>
    <t xml:space="preserve">        Corporaciones Financieras</t>
  </si>
  <si>
    <t>121010105</t>
  </si>
  <si>
    <t xml:space="preserve">        Institutos de Desarrollo</t>
  </si>
  <si>
    <t>295A</t>
  </si>
  <si>
    <t xml:space="preserve">        Para Financiar Ajuste</t>
  </si>
  <si>
    <t>121010198</t>
  </si>
  <si>
    <t xml:space="preserve">        Otros Recursos del Sector Financiero</t>
  </si>
  <si>
    <t>1210102</t>
  </si>
  <si>
    <t xml:space="preserve">      Del Sector No Financiero</t>
  </si>
  <si>
    <t>12102</t>
  </si>
  <si>
    <t xml:space="preserve">    Externo</t>
  </si>
  <si>
    <t>122</t>
  </si>
  <si>
    <t xml:space="preserve">  RECURSOS DEL BALANCE</t>
  </si>
  <si>
    <t>12201</t>
  </si>
  <si>
    <t xml:space="preserve">    Saldo en Caja y Bancos a Diciembre 31 Vigencia Anterior</t>
  </si>
  <si>
    <t>12202</t>
  </si>
  <si>
    <t xml:space="preserve">    Recuperación de Cartera</t>
  </si>
  <si>
    <t>1220201</t>
  </si>
  <si>
    <t xml:space="preserve">      Ingresos Tributarios</t>
  </si>
  <si>
    <t>1220202</t>
  </si>
  <si>
    <t xml:space="preserve">      Prestamos Concedidos - Capital</t>
  </si>
  <si>
    <t>1220203</t>
  </si>
  <si>
    <t xml:space="preserve">      Prestamos Concedidos - Intereses</t>
  </si>
  <si>
    <t>1220298</t>
  </si>
  <si>
    <t xml:space="preserve">     Otras Recuperaciones</t>
  </si>
  <si>
    <t>12203</t>
  </si>
  <si>
    <t xml:space="preserve">    Reintegros</t>
  </si>
  <si>
    <t>12204</t>
  </si>
  <si>
    <t xml:space="preserve">    Cancelación de Reservas</t>
  </si>
  <si>
    <t>12205</t>
  </si>
  <si>
    <t xml:space="preserve">    Superávit Fiscal</t>
  </si>
  <si>
    <t>12206</t>
  </si>
  <si>
    <t xml:space="preserve">    Venta de Activos</t>
  </si>
  <si>
    <t>12298</t>
  </si>
  <si>
    <t xml:space="preserve">    Otros Recursos del Balance</t>
  </si>
  <si>
    <t>123</t>
  </si>
  <si>
    <t xml:space="preserve">  RENDIMIENTO DE INVERSIONES FINANCIERAS</t>
  </si>
  <si>
    <t>124</t>
  </si>
  <si>
    <t xml:space="preserve">  DONACIONES</t>
  </si>
  <si>
    <t>125</t>
  </si>
  <si>
    <t xml:space="preserve">  EXCEDENTES FINANCIEROS</t>
  </si>
  <si>
    <t>12501</t>
  </si>
  <si>
    <t xml:space="preserve">    Excedente de Establecimientos Públicos</t>
  </si>
  <si>
    <t>12502</t>
  </si>
  <si>
    <t xml:space="preserve">    Utilidad de Empresas Industriales y Comerciales</t>
  </si>
  <si>
    <t>126</t>
  </si>
  <si>
    <t xml:space="preserve">  APROVECHAMIENTOS</t>
  </si>
  <si>
    <t>11205020105</t>
  </si>
  <si>
    <t xml:space="preserve">          Fondo de Ahorro y Estabilización Petrolera -FAEP-</t>
  </si>
  <si>
    <t>128</t>
  </si>
  <si>
    <t xml:space="preserve">  OTROS INGRESOS DE CAPITAL</t>
  </si>
  <si>
    <t>TITULOS GRAFICAS</t>
  </si>
  <si>
    <t>CodigoCategoria</t>
  </si>
  <si>
    <t>Vigencia</t>
  </si>
  <si>
    <t>Categoria</t>
  </si>
  <si>
    <t>SaneaFiscal</t>
  </si>
  <si>
    <t>FechaInicio</t>
  </si>
  <si>
    <t>FechaFin</t>
  </si>
  <si>
    <t>CodigoFormato</t>
  </si>
  <si>
    <t>CodigoEntidad</t>
  </si>
  <si>
    <t>NIT</t>
  </si>
  <si>
    <t>SI</t>
  </si>
  <si>
    <t>17174</t>
  </si>
  <si>
    <t>NO</t>
  </si>
  <si>
    <t>Entidad:</t>
  </si>
  <si>
    <t xml:space="preserve">Opción por la cuál se categorizó en la vigencia anterior </t>
  </si>
  <si>
    <t>Saneamiento fiscal (digite  X si está en saneamiento fiscal)</t>
  </si>
  <si>
    <t>Código      CGR</t>
  </si>
  <si>
    <t>Presupuesto Definitivo</t>
  </si>
  <si>
    <t>Compromisos del mes</t>
  </si>
  <si>
    <t>Compromisos Acumulados al mes</t>
  </si>
  <si>
    <t>Pagos Acumulados al mes</t>
  </si>
  <si>
    <t>Ejecución Acumulada al mismo Mes del Año Anterior</t>
  </si>
  <si>
    <t>Ejecución Acumulada a Diciembre del año anterior (CAPACIDAD DE PAGO)</t>
  </si>
  <si>
    <t>2</t>
  </si>
  <si>
    <t>GASTOS</t>
  </si>
  <si>
    <t>21</t>
  </si>
  <si>
    <t xml:space="preserve"> GASTOS DE FUNCIONAMIENTO</t>
  </si>
  <si>
    <t>211</t>
  </si>
  <si>
    <t xml:space="preserve">  GASTOS DE PERSONAL</t>
  </si>
  <si>
    <t>21101</t>
  </si>
  <si>
    <t xml:space="preserve">   Servicios Personales Asociados a la Nómina</t>
  </si>
  <si>
    <t>21102</t>
  </si>
  <si>
    <t xml:space="preserve">   Servicios Personales Indirectos</t>
  </si>
  <si>
    <t>2110201</t>
  </si>
  <si>
    <t>2110202</t>
  </si>
  <si>
    <t xml:space="preserve">      Jornales</t>
  </si>
  <si>
    <t>2110203</t>
  </si>
  <si>
    <t xml:space="preserve">      Personal Supernumerario</t>
  </si>
  <si>
    <t>2110204</t>
  </si>
  <si>
    <t xml:space="preserve">      Remuneración por Servicios Técnicos</t>
  </si>
  <si>
    <t>2110298</t>
  </si>
  <si>
    <t>21103</t>
  </si>
  <si>
    <t xml:space="preserve">   Contribuciones Inherentes a la Nómina</t>
  </si>
  <si>
    <t>2110301</t>
  </si>
  <si>
    <t xml:space="preserve">      Al Sector Público</t>
  </si>
  <si>
    <t>211030101</t>
  </si>
  <si>
    <t>211030102</t>
  </si>
  <si>
    <t>2110302</t>
  </si>
  <si>
    <t>X</t>
  </si>
  <si>
    <t xml:space="preserve">      Al Sector Privado</t>
  </si>
  <si>
    <t>211030201</t>
  </si>
  <si>
    <t>211030202</t>
  </si>
  <si>
    <t>212</t>
  </si>
  <si>
    <t xml:space="preserve">  GASTOS GENERALES</t>
  </si>
  <si>
    <t>21201</t>
  </si>
  <si>
    <t xml:space="preserve">    Adquisición de Bienes</t>
  </si>
  <si>
    <t>21202</t>
  </si>
  <si>
    <t xml:space="preserve">    Adquisición de Servicios</t>
  </si>
  <si>
    <t>21298</t>
  </si>
  <si>
    <t xml:space="preserve">    Otros Gastos Generales</t>
  </si>
  <si>
    <t>213</t>
  </si>
  <si>
    <t xml:space="preserve">  TRANSFERENCIAS</t>
  </si>
  <si>
    <t>21301</t>
  </si>
  <si>
    <t xml:space="preserve">   Al Sector Público</t>
  </si>
  <si>
    <t>2130101</t>
  </si>
  <si>
    <t xml:space="preserve">      Pagos de Previsión Social</t>
  </si>
  <si>
    <t>21301010101</t>
  </si>
  <si>
    <t xml:space="preserve">          Cesantías (pagos directos)</t>
  </si>
  <si>
    <t>21301010102</t>
  </si>
  <si>
    <t xml:space="preserve">          Pensiones (mesadas)</t>
  </si>
  <si>
    <t>21301010198</t>
  </si>
  <si>
    <t xml:space="preserve">          Otras Prestaciones Sociales</t>
  </si>
  <si>
    <t>2130102</t>
  </si>
  <si>
    <t xml:space="preserve">      Pagos a Otras Entidades del Sector Público</t>
  </si>
  <si>
    <t>213010201</t>
  </si>
  <si>
    <t xml:space="preserve">        Al Nivel Nacional (10% del S.G.P.- Forz. Inv.- Art. 49-Ley 863/03)</t>
  </si>
  <si>
    <t>213010202</t>
  </si>
  <si>
    <t xml:space="preserve">        Departamento (Administración Central)</t>
  </si>
  <si>
    <t>213010203</t>
  </si>
  <si>
    <t xml:space="preserve">        Distrito (Administración Central)</t>
  </si>
  <si>
    <t>213010204</t>
  </si>
  <si>
    <t xml:space="preserve">        Municipios (Administración Central)</t>
  </si>
  <si>
    <t>213010205</t>
  </si>
  <si>
    <t xml:space="preserve">        A Entidades Descentralizadas</t>
  </si>
  <si>
    <t>21302</t>
  </si>
  <si>
    <t xml:space="preserve">   Al Sector Privado</t>
  </si>
  <si>
    <t>2130201</t>
  </si>
  <si>
    <t>21302010101</t>
  </si>
  <si>
    <t>21302010102</t>
  </si>
  <si>
    <t>21302010198</t>
  </si>
  <si>
    <t>2130202</t>
  </si>
  <si>
    <t xml:space="preserve">    Pagos/Déficit Generado Post Acuerdo (Aplica 617/00)</t>
  </si>
  <si>
    <t>21303</t>
  </si>
  <si>
    <t xml:space="preserve">    Pagos a Organismos Internacionales</t>
  </si>
  <si>
    <t>21304</t>
  </si>
  <si>
    <t>PLAN FINANCIERO PLURIANUAL</t>
  </si>
  <si>
    <t>AÑOS</t>
  </si>
  <si>
    <t>INGRESOS CORRIENTES DE LIBRE DESTINACION</t>
  </si>
  <si>
    <t>AHORO CORRIENTE</t>
  </si>
  <si>
    <t>RECURSOS DE CAPITAL (EXCEPTO LOS DEL CREDITO Y LOS DESTINACION ESPECIFICA</t>
  </si>
  <si>
    <t>SERVICIO DE LA DEUDA</t>
  </si>
  <si>
    <t>AHORRO NETO</t>
  </si>
  <si>
    <t>AHORRO DISPONIBLE PARA INVERTIR</t>
  </si>
  <si>
    <t>METAS DE INVERSION SEGÚN EL PLAN DE DESARROLLO</t>
  </si>
  <si>
    <t>NECESIDAD DE FINANCIAMIIENTO</t>
  </si>
  <si>
    <t>SITUACION FISCAL DEFICIT O SUPERAVIT</t>
  </si>
  <si>
    <t>Impuesto Predial Unificado</t>
  </si>
  <si>
    <t>INGRESOS CORRIENTES DE DESTINACION ESPECIFICA SISTEMA GENERAL DE PARTICIPACIONES  Y OTROS</t>
  </si>
  <si>
    <t>RECURSOS DEL BALANCE (VENTA DE ACTIVOS)</t>
  </si>
  <si>
    <t>21305</t>
  </si>
  <si>
    <t>21306</t>
  </si>
  <si>
    <t xml:space="preserve">   Sentencias y Conciliaciones</t>
  </si>
  <si>
    <t>21398</t>
  </si>
  <si>
    <t xml:space="preserve">   Otras Transferencias (a Bomberos, CAR y otras similares de fuentes propias)</t>
  </si>
  <si>
    <t>217</t>
  </si>
  <si>
    <t xml:space="preserve">   DEFICIT FISCAL (FUNCIONAMIENTO) </t>
  </si>
  <si>
    <t>12A</t>
  </si>
  <si>
    <t xml:space="preserve"> DÉFICIT FISCAL VIGENCIAS 2.001 Y SIGUIENTES</t>
  </si>
  <si>
    <t>13A</t>
  </si>
  <si>
    <t xml:space="preserve"> DEFICIT FISCAL VIGENCIA 2.000 Y ANTERIORES</t>
  </si>
  <si>
    <t>22</t>
  </si>
  <si>
    <t>GASTOS DE INVERSION</t>
  </si>
  <si>
    <t>Escenario Financiero Año 2007</t>
  </si>
  <si>
    <t xml:space="preserve">              S. G. P. Educación -  (Calidad)</t>
  </si>
  <si>
    <t xml:space="preserve">       Alimentacion Escolar</t>
  </si>
  <si>
    <t xml:space="preserve">    CON RECURSOS DE FONDOS                                      ESPECIALES</t>
  </si>
  <si>
    <t xml:space="preserve">    DESTINACION ESPECIFICA</t>
  </si>
  <si>
    <t xml:space="preserve">       Deguello de Ganado Mayor</t>
  </si>
  <si>
    <t xml:space="preserve">    CON RECURSOS DE CAPITAL</t>
  </si>
  <si>
    <t xml:space="preserve">      Rendimientos de operaciones financieras</t>
  </si>
  <si>
    <t xml:space="preserve">  CON RECURSOS DE LIBRE INVERSION</t>
  </si>
  <si>
    <t xml:space="preserve">    Otros Sectores de inversion</t>
  </si>
  <si>
    <t xml:space="preserve">RAZÓN (GF/ICLD) </t>
  </si>
  <si>
    <t>GASTOS DE FUNCIONAMIENTO SIN ORGANISMOS DE CONTROL</t>
  </si>
  <si>
    <t xml:space="preserve"> TRANSFERENCIAS  </t>
  </si>
  <si>
    <t>223</t>
  </si>
  <si>
    <t xml:space="preserve">  CON RECURSOS DEL SGP</t>
  </si>
  <si>
    <t>22310</t>
  </si>
  <si>
    <t xml:space="preserve">   EDUCACION</t>
  </si>
  <si>
    <t>14A</t>
  </si>
  <si>
    <t xml:space="preserve">corresponde a la suma de las siguientes variables del formato CGR: 2231001,2231004 </t>
  </si>
  <si>
    <t xml:space="preserve">      Construcción, reparación y manteniemiento de Planteles para Preescolar, Primaria y Secundaria</t>
  </si>
  <si>
    <t>2231007</t>
  </si>
  <si>
    <t xml:space="preserve">      Preinversión: Estudios, Proyectos, Diseños y Asesorías</t>
  </si>
  <si>
    <t>2231008</t>
  </si>
  <si>
    <t xml:space="preserve">      Pago Personal Docente</t>
  </si>
  <si>
    <t>2231009</t>
  </si>
  <si>
    <t xml:space="preserve">      Aportes de Seguridad Social del Personal del Sector</t>
  </si>
  <si>
    <t>2231012</t>
  </si>
  <si>
    <t xml:space="preserve">      Subsidio para el Acceso de la Población a Servicios Educativos</t>
  </si>
  <si>
    <t>15A</t>
  </si>
  <si>
    <t>Corresponde a la suma de las siguientes variables del formato de la CGR: 2231005;2231006;2231010;2231011;2231014;2231098</t>
  </si>
  <si>
    <t xml:space="preserve">      Otros Gastos Educación</t>
  </si>
  <si>
    <t>22316</t>
  </si>
  <si>
    <t xml:space="preserve">   SALUD</t>
  </si>
  <si>
    <t>16A</t>
  </si>
  <si>
    <t>corresponde a la suma de las siguientes variables del formato CGR: 2231601,2231603</t>
  </si>
  <si>
    <t xml:space="preserve">      Construcción y mantenimiento de Hospitales y Puestos de Salud</t>
  </si>
  <si>
    <t>2231607</t>
  </si>
  <si>
    <t>2231608</t>
  </si>
  <si>
    <t xml:space="preserve">      Pagos de Personal del Sector</t>
  </si>
  <si>
    <t>2231609</t>
  </si>
  <si>
    <t>2231612</t>
  </si>
  <si>
    <t xml:space="preserve">      Subsidio para el Acceso de la Población a Servicios Medicos</t>
  </si>
  <si>
    <t>17A</t>
  </si>
  <si>
    <t>Corresponde a la suma de las siguientes variables del formato de la CGR: 2231605;2231610;2231611;2231614;2231615;2231698</t>
  </si>
  <si>
    <t xml:space="preserve">      Otros Gastos Salud</t>
  </si>
  <si>
    <t>50A</t>
  </si>
  <si>
    <t xml:space="preserve">  CON RECURSOS DE PARTICIPACIONES DE PROPOSITO GENERAL - SGP</t>
  </si>
  <si>
    <t>51A</t>
  </si>
  <si>
    <t xml:space="preserve">    Pagos de personal y aportes a la seguridad  social</t>
  </si>
  <si>
    <t>52A</t>
  </si>
  <si>
    <t>Variables 2250208 y 2250209 formato CGR</t>
  </si>
  <si>
    <t xml:space="preserve">       Agua Potable y Saneamiento Básico</t>
  </si>
  <si>
    <t>53A</t>
  </si>
  <si>
    <t>Variables 2250608 y 2250609 formato CGR</t>
  </si>
  <si>
    <t xml:space="preserve">       Infraestructura Vial </t>
  </si>
  <si>
    <t>54A</t>
  </si>
  <si>
    <t>Variables 2250808 y  2250809 formato CGR</t>
  </si>
  <si>
    <t xml:space="preserve">       Vivienda</t>
  </si>
  <si>
    <t>55A</t>
  </si>
  <si>
    <t>Variables 2251008 y 2251009 formato CGR</t>
  </si>
  <si>
    <t xml:space="preserve">       Educación</t>
  </si>
  <si>
    <t>56A</t>
  </si>
  <si>
    <t>Variables 2251408 y 2251409 formato CGR</t>
  </si>
  <si>
    <t xml:space="preserve">       Educación Física, Deporte y Recreación</t>
  </si>
  <si>
    <t>57A</t>
  </si>
  <si>
    <t>Variables 2251608 y 2251609 formato CGR</t>
  </si>
  <si>
    <t xml:space="preserve">       Salud</t>
  </si>
  <si>
    <t>58A</t>
  </si>
  <si>
    <t>Variables 2251808 y 2251809  formato CGR</t>
  </si>
  <si>
    <t xml:space="preserve">       Cultura</t>
  </si>
  <si>
    <t>59A</t>
  </si>
  <si>
    <t>Variables 2252008 y 2252009  formato CGR</t>
  </si>
  <si>
    <t xml:space="preserve">       Sector Energético</t>
  </si>
  <si>
    <t>60A</t>
  </si>
  <si>
    <t>Variables 2252208 y 2252209 formato CGR</t>
  </si>
  <si>
    <t xml:space="preserve">       Desarrollo Agropecuario y Minero</t>
  </si>
  <si>
    <t>61A</t>
  </si>
  <si>
    <t>Variables 2252408 y 2252409 formato CGR</t>
  </si>
  <si>
    <t xml:space="preserve">       Infraestructura Urbana</t>
  </si>
  <si>
    <t>62A</t>
  </si>
  <si>
    <t>Variables 2253408 y 2253409 formato CGR</t>
  </si>
  <si>
    <t xml:space="preserve">       Desarrollo de la comunidad</t>
  </si>
  <si>
    <t>63A</t>
  </si>
  <si>
    <t>Variables 2253608 y 2253609 formato CGR</t>
  </si>
  <si>
    <t xml:space="preserve">       Justicia, defensa y seguridad</t>
  </si>
  <si>
    <t>64A</t>
  </si>
  <si>
    <t>Variables 2252608 y 2252609 formato CGR</t>
  </si>
  <si>
    <t xml:space="preserve">       Otros sectores</t>
  </si>
  <si>
    <t>65A</t>
  </si>
  <si>
    <t xml:space="preserve">    Subsidios para el acceso de la población al servicio</t>
  </si>
  <si>
    <t>2250212</t>
  </si>
  <si>
    <t>66A</t>
  </si>
  <si>
    <t>Variables 2250812 y 2250813 formato CGR</t>
  </si>
  <si>
    <t>2251012</t>
  </si>
  <si>
    <t>2251612</t>
  </si>
  <si>
    <t>67A</t>
  </si>
  <si>
    <t xml:space="preserve">        Sector Energético</t>
  </si>
  <si>
    <t>2252212</t>
  </si>
  <si>
    <t>68A</t>
  </si>
  <si>
    <t xml:space="preserve">    Formación Bruta de capital  y otros (construcción, reparación, mantenimiento, asistencia técnica, preinversión, etc)</t>
  </si>
  <si>
    <t>69A</t>
  </si>
  <si>
    <t>Variables 2250201, 2250202, 2250203, 2250204, 2250205, 2250207, 2250211 y 2250298 del  formato CGR</t>
  </si>
  <si>
    <t>70A</t>
  </si>
  <si>
    <t>Variables 2250601, 2250602, 2250603, 2250604, 2250605, 2250607, 2250611, 2250614 y 2250698 del  formato CGR</t>
  </si>
  <si>
    <t>71A</t>
  </si>
  <si>
    <t>Variables 2250801,  2250805, 2250807, 2250811, 2250814 y 2250898 del  formato CGR</t>
  </si>
  <si>
    <t>72A</t>
  </si>
  <si>
    <t>Variables 2251001, 2251004, 2251005, 2251006, 2251007, 2251010, 2251011, 2251014 y 2251098 del  formato CGR</t>
  </si>
  <si>
    <t>73A</t>
  </si>
  <si>
    <t>Variables 2251401, 2251403, 2251405, 2251407, 2251410, 2251411, 2251414 y 2251498 del  formato CGR</t>
  </si>
  <si>
    <t>74A</t>
  </si>
  <si>
    <t>Variables 2251601, 2251603, 2251605, 2251607, 2251610, 2251611, 2251614, 2251615 y 2251698 del  formato CGR</t>
  </si>
  <si>
    <t>75A</t>
  </si>
  <si>
    <t>Variables 2251801, 2251803, 2251805, 2251807, 2251810, 2251811, 2251814 y  2251898 del  formato CGR</t>
  </si>
  <si>
    <t>76A</t>
  </si>
  <si>
    <t>Variables 2252001, 2252003, 2252005, 2252007,  2252011, 2252014 y 2252098 del  formato CGR</t>
  </si>
  <si>
    <t>77A</t>
  </si>
  <si>
    <t>Variables 2252201, 2252203, 2252205, 2252206, 2252207, 2252210, 2252211, 2252214 y 2252215, 2252216, 2252217, 2252218 y 2252298 del  formato CGR</t>
  </si>
  <si>
    <t>78A</t>
  </si>
  <si>
    <t>Variables 2252401,  2252402, 2252403, 2252405, 2252407,  2252411 y 2252498 del  formato CGR</t>
  </si>
  <si>
    <t>79A</t>
  </si>
  <si>
    <t>Variables 2253401,  2253403, 2253405, 2253407, 2253410, 2253411, 2253414, 2253415, 2253416 y 2253498 del  formato CGR</t>
  </si>
  <si>
    <t>80A</t>
  </si>
  <si>
    <t>Variables 2253601,  2253603, 2253605, 2253607, 2253610, 2253611, 2253614, y 2253698 del  formato CGR</t>
  </si>
  <si>
    <t>81A</t>
  </si>
  <si>
    <t>Variables 2255401,  2255403, 2255405, 2255407, 2255410, 2255411, 2255414, 2255416 y 2255498 del  formato CGR</t>
  </si>
  <si>
    <t xml:space="preserve">       Desarrollo Institucional</t>
  </si>
  <si>
    <t>82A</t>
  </si>
  <si>
    <t xml:space="preserve">  Estampillas y fondos especiales</t>
  </si>
  <si>
    <t xml:space="preserve">   Fondo Rotatorio de Obras publicas</t>
  </si>
  <si>
    <t xml:space="preserve">   Fondo de Seguridad (5% Contratos) -Ley 418/97-</t>
  </si>
  <si>
    <t xml:space="preserve">Variables 2252601,  2252603, 2252605, 2252606, 2252607, 2252611, 2252698, 2252810, 2252811, 2252814, 2252816, 2252817,  2252898, 2253001, 2253003, 2253011, 2253014, 2253098, 2253214, 2253215, 2253216, 2253217, 2255201, 2255203, 2255205, 2255207, 2255211, </t>
  </si>
  <si>
    <t>224</t>
  </si>
  <si>
    <t xml:space="preserve">  CON RECURSOS DE REGALIAS Y FONDOS DE COFINANCIACIÓN</t>
  </si>
  <si>
    <t>18A</t>
  </si>
  <si>
    <t>19A</t>
  </si>
  <si>
    <t>Variables 2240208 y 2240209 formato CGR</t>
  </si>
  <si>
    <t>20A</t>
  </si>
  <si>
    <t>Variables 2240608 y 2240609 formato CGR</t>
  </si>
  <si>
    <t>21A</t>
  </si>
  <si>
    <t>Variables 2240808 y  2240809 formato CGR</t>
  </si>
  <si>
    <t>22A</t>
  </si>
  <si>
    <t>Variables 2241008 y 2241009 formato CGR</t>
  </si>
  <si>
    <t>23A</t>
  </si>
  <si>
    <t>Variables 2241408 y 2241409 formato CGR</t>
  </si>
  <si>
    <t>24A</t>
  </si>
  <si>
    <t>Variables 2241608 y 2241609 formato CGR</t>
  </si>
  <si>
    <t>25A</t>
  </si>
  <si>
    <t>Variables 2241808 y 2241809  formato CGR</t>
  </si>
  <si>
    <t>26A</t>
  </si>
  <si>
    <t>Variables 2242008 y 2242009  formato CGR</t>
  </si>
  <si>
    <t>27A</t>
  </si>
  <si>
    <t>Variables 2242208 y 2242209 formato CGR</t>
  </si>
  <si>
    <t>28A</t>
  </si>
  <si>
    <t>Variables 2242408 y 2242409 formato CGR</t>
  </si>
  <si>
    <t>29A</t>
  </si>
  <si>
    <t>Variables 2243408 y 2243409 formato CGR</t>
  </si>
  <si>
    <t>30A</t>
  </si>
  <si>
    <t>Variables 2243608 y 2243609 formato CGR</t>
  </si>
  <si>
    <t>31A</t>
  </si>
  <si>
    <t>Variables 2242608 y 2242609 formato CGR</t>
  </si>
  <si>
    <t xml:space="preserve">       Otros</t>
  </si>
  <si>
    <t>32A</t>
  </si>
  <si>
    <t>2240212</t>
  </si>
  <si>
    <t>33A</t>
  </si>
  <si>
    <t>Variables 2240812 y 2240813 formato CGR</t>
  </si>
  <si>
    <t>2241012</t>
  </si>
  <si>
    <t>2241612</t>
  </si>
  <si>
    <t>34A</t>
  </si>
  <si>
    <t>2242212</t>
  </si>
  <si>
    <t>35A</t>
  </si>
  <si>
    <t>36A</t>
  </si>
  <si>
    <t>Variables 2240201, 2240202, 2240203, 2240204, 2240205, 2240207, 2240211 y 2240298 del  formato CGR</t>
  </si>
  <si>
    <t>37A</t>
  </si>
  <si>
    <t>Variables 2240601, 2240602, 2240603, 2240604, 2240605, 2240607, 2240611, 2240614 y 2240698 del  formato CGR</t>
  </si>
  <si>
    <t>38A</t>
  </si>
  <si>
    <t>Variables 2240801,  2240805, 2240807, 2240811, 2240814 y 2240898 del  formato CGR</t>
  </si>
  <si>
    <t>39A</t>
  </si>
  <si>
    <t>Variables 2241001, 2241004, 2241005, 2241006, 2241007, 2241010, 2241011, 2241014 y 2241098 del  formato CGR</t>
  </si>
  <si>
    <t>40A</t>
  </si>
  <si>
    <t>Variables 2241401, 2241403, 2241405, 2241407, 2241410, 2241411, 2241414 y 2241498 del  formato CGR</t>
  </si>
  <si>
    <t>41A</t>
  </si>
  <si>
    <t>Variables 2241601, 2241603, 2241605, 2241607, 2241610, 2241611, 2241614, 2241615 y 2241698 del  formato CGR</t>
  </si>
  <si>
    <t>42A</t>
  </si>
  <si>
    <t>AÑOS 2012-2022</t>
  </si>
  <si>
    <t xml:space="preserve">              Fosyga</t>
  </si>
  <si>
    <t xml:space="preserve">             Etesa</t>
  </si>
  <si>
    <t xml:space="preserve">      Otros Fondos Especiales (Fondo Rotatorio de obras publicas)</t>
  </si>
  <si>
    <t xml:space="preserve">      Programas de salud publica e intervenciones colectivas</t>
  </si>
  <si>
    <t>2012 - 2022</t>
  </si>
  <si>
    <t>Escenario Financiero Año 2011</t>
  </si>
  <si>
    <t>RECAUDOS A 30 SEPTIEMBRE 2011</t>
  </si>
  <si>
    <t xml:space="preserve"> A 30 DE SEPTIEMBRE DE 2.011</t>
  </si>
  <si>
    <t>INFORME DE RESULTADOS FISCALES FRENTE A ESCENARIO PROYECTADO PARA EL 2011</t>
  </si>
  <si>
    <t>Variables 2241801, 2241803, 2241805, 2241807, 2241810, 2241811, 2241814 y  2241898 del  formato CGR</t>
  </si>
  <si>
    <t>43A</t>
  </si>
  <si>
    <t>Variables 2242001, 2242003, 2242005, 2242007,  2242011, 2242014 y 2242098 del  formato CGR</t>
  </si>
  <si>
    <t>44A</t>
  </si>
  <si>
    <t>Variables 2242201, 2242203, 2242205, 2242206, 2242207, 2242210, 2242211, 2242214 y 2242215, 2242216, 2242217, 2242218 y 2242298 del  formato CGR</t>
  </si>
  <si>
    <t>45A</t>
  </si>
  <si>
    <t>Variables 2242401,  2242402, 2242403, 2242405, 2242407,  2242411 y 2242498 del  formato CGR</t>
  </si>
  <si>
    <t>46A</t>
  </si>
  <si>
    <t>Variables 2243401,  2243403, 2243405, 2243407, 2243410, 2243411, 2243414, 2243415, 2243416 y 2243498 del  formato CGR</t>
  </si>
  <si>
    <t>47A</t>
  </si>
  <si>
    <t>Variables 2243601,  2243603, 2243605, 2243607, 2243610, 2243611, 2243614, y 2243698 del  formato CGR</t>
  </si>
  <si>
    <t>48A</t>
  </si>
  <si>
    <t>Variables 2245401,  2245403, 2245405, 2245407, 2245410, 2245411, 2245414, 2245416 y 2245498 del  formato CGR</t>
  </si>
  <si>
    <t>49A</t>
  </si>
  <si>
    <t>Variables 2242601,  2242603, 2242605, 2242606, 2242607, 2242611, 2242698, 2242810, 2242811, 2242814, 2242816, 2242817,  2242898, 2243001, 2243003, 2243011, 2243014, 2243098, 2243214, 2243215, 2243216 y 2243217 del  formato CGR</t>
  </si>
  <si>
    <t>83A</t>
  </si>
  <si>
    <t xml:space="preserve">  CON RECURSOS PROPIOS Y OTROS</t>
  </si>
  <si>
    <t>84A</t>
  </si>
  <si>
    <t>85A</t>
  </si>
  <si>
    <t>Variables 2260208, 2256209, 2270208 y 2270209 formato CGR</t>
  </si>
  <si>
    <t>86A</t>
  </si>
  <si>
    <t>Variables 2260608, 2260609, 2270608 y2270609 formato CGR</t>
  </si>
  <si>
    <t>87A</t>
  </si>
  <si>
    <t>Variables 2260808 y  2260809, 2270808 y 2270809 formato CGR</t>
  </si>
  <si>
    <t>88A</t>
  </si>
  <si>
    <t>Variables 2261008, 2261009, 2271008 y 2271009 formato CGR</t>
  </si>
  <si>
    <t>89A</t>
  </si>
  <si>
    <t>Variables 2261408, 2271408, 2261409 y 2271409 formato CGR</t>
  </si>
  <si>
    <t>90A</t>
  </si>
  <si>
    <t>Variables 2261608, 2261609, 2271608 y 2271609 formato CGR</t>
  </si>
  <si>
    <t>91A</t>
  </si>
  <si>
    <t>Variables 2261808, 2261809, 2271808 y 2271809  formato CGR</t>
  </si>
  <si>
    <t>92A</t>
  </si>
  <si>
    <t>Variables 2262008, 2262009, 2272008 y 2272009  formato CGR</t>
  </si>
  <si>
    <t>93A</t>
  </si>
  <si>
    <t>Variables 2262208, 2262209, 2272208 y 2272209  formato CGR</t>
  </si>
  <si>
    <t>94A</t>
  </si>
  <si>
    <t>Variables 2262408, 2262409, 2272408 y 2272409  formato CGR</t>
  </si>
  <si>
    <t>95A</t>
  </si>
  <si>
    <t>Variables 2263408, 2263409, 2273408 y 2273409  formato CGR</t>
  </si>
  <si>
    <t>96A</t>
  </si>
  <si>
    <t>Variables 2263608, 2263609, 2273608 y 2273609  formato CGR</t>
  </si>
  <si>
    <t>97A</t>
  </si>
  <si>
    <t>Variables 2262608, 2262609, 2272608 y 2272609  formato CGR</t>
  </si>
  <si>
    <t>98A</t>
  </si>
  <si>
    <t>311A</t>
  </si>
  <si>
    <t>Variables 2260212 y 2270212 formato CGR</t>
  </si>
  <si>
    <t>99A</t>
  </si>
  <si>
    <t>Variables 2260812, 2260813, 2270812 y 2270813 formato CGR</t>
  </si>
  <si>
    <t>100A</t>
  </si>
  <si>
    <t>Variables 2261012 y 2271012 formato CGR</t>
  </si>
  <si>
    <t>101A</t>
  </si>
  <si>
    <t>Variables 2261612 y 2271612 formato CGR</t>
  </si>
  <si>
    <t>102A</t>
  </si>
  <si>
    <t>Variables 2262212 y 2272212 formato CGR</t>
  </si>
  <si>
    <t>103A</t>
  </si>
  <si>
    <t>104A</t>
  </si>
  <si>
    <t>Variables 2260201, 2260202, 2260203, 2260204, 2260205, 2260207, 2260211, 2260298, 2270201, 2270202, 2270203, 2270204, 2270205, 2270207, 2270211 y 2270298del  formato CGR</t>
  </si>
  <si>
    <t>105A</t>
  </si>
  <si>
    <t>Variables 2260601, 2260602, 2260603, 2260604, 2260605, 2260607, 2260611, 2260614, 2260698 2260601, 2260602, 2260603, 2260604, 2260605, 2260607, 2260611, 2260614 y 2260698del  formato CGR</t>
  </si>
  <si>
    <t>106A</t>
  </si>
  <si>
    <t>Variables 2260801,  2260805, 2260807, 2260811, 2260814,  2260898, 2270801,  2270805, 2270807, 2270811, 2270814 y 2270898 del  formato CGR</t>
  </si>
  <si>
    <t>107A</t>
  </si>
  <si>
    <t>Variables 2261001, 2261004, 2261005, 2261006, 2261007, 2261010, 2261011, 2261014,  2261098, 2271001, 2271004, 2271005, 2271006, 2271007, 2271010, 2271011, 2271014 y 2271098 del  formato CGR</t>
  </si>
  <si>
    <t>108A</t>
  </si>
  <si>
    <t>Variables 2261401, 2261403, 2261405, 2261407, 2261410, 2261411, 2261414, 2261498, 2271401, 2271403, 2271405, 2271407, 2271410, 2271411, 2271414 y 2271498 del  formato CGR</t>
  </si>
  <si>
    <t>109A</t>
  </si>
  <si>
    <t>Variables 2261601, 2261603, 2261605, 2261607, 2261610, 2261611, 2261614, 2261615, 2261698, 2271601, 2271603, 2271605, 2271607, 2271610, 2271611, 2271614, 2271615 y 2271698 del  formato CGR</t>
  </si>
  <si>
    <t>110A</t>
  </si>
  <si>
    <t>Variables 2261801, 2261803, 2261805, 2261807, 2261810, 2261811, 2261814, 2261898, 2271801, 2271803, 2271805, 2271807, 2271810, 2271811, 2271814 y 2271898 del  formato CGR</t>
  </si>
  <si>
    <t>111A</t>
  </si>
  <si>
    <t>Variables 2262001, 2262003, 2262005, 2262007,  2262011, 2262014, 2262098, 2272001, 2272003, 2272005, 2272007,  2272011, 2272014 y 2272098 del  formato CGR</t>
  </si>
  <si>
    <t>112A</t>
  </si>
  <si>
    <t>Variables 2262201, 2262203, 2262205, 2262206, 2262207, 2262210, 2262211, 2262214 y 2262215, 2262216, 2262217, 2262218, 2262298,  2272201, 2272203, 2272205, 2272206, 2272207, 2272210, 2272211, 2272214 y 2272215, 2272216, 2272217, 2272218 y 2272298 del  for</t>
  </si>
  <si>
    <t>113A</t>
  </si>
  <si>
    <t>Variables 2262401,  2262402, 2262403, 2262405, 2262407,  2262411, 2262498, 2272401,  2272402, 2272403, 2272405, 2272407,  2272411 y 2272498 del  formato CGR</t>
  </si>
  <si>
    <t>114A</t>
  </si>
  <si>
    <t>Variables 2263401,  2263403, 2263405, 2263407, 2263410, 2263411, 2263414, 2263415, 2263416, 2263498, 2273401,  2273403, 2273405, 2273407, 2273410, 2273411, 2273414, 2273415, 2273416 y 2273498 del  formato CGR</t>
  </si>
  <si>
    <t>115A</t>
  </si>
  <si>
    <t>Variables 2263601,  2263603, 2263605, 2263607, 2263610, 2263611, 2263614,  2263698, 2263601,  2263603, 2263605, 2263607, 2263610, 2263611, 2263614, y 2263698  del  formato CGR</t>
  </si>
  <si>
    <t>116A</t>
  </si>
  <si>
    <t>Variables 2265401,  2265403, 2265405, 2265407, 2265410, 2265411, 2265414, 2265416, 2265498, 2275401,  2275403, 2275405, 2275407, 2275410, 2275411, 2275414, 2275416 y 2275498 del  formato CGR</t>
  </si>
  <si>
    <t>117A</t>
  </si>
</sst>
</file>

<file path=xl/styles.xml><?xml version="1.0" encoding="utf-8"?>
<styleSheet xmlns="http://schemas.openxmlformats.org/spreadsheetml/2006/main">
  <numFmts count="13">
    <numFmt numFmtId="177" formatCode="_ * #,##0.00_ ;_ * \-#,##0.00_ ;_ * &quot;-&quot;??_ ;_ @_ "/>
    <numFmt numFmtId="192" formatCode="#,##0.0"/>
    <numFmt numFmtId="193" formatCode="0.0%"/>
    <numFmt numFmtId="194" formatCode="0.0"/>
    <numFmt numFmtId="195" formatCode="#,##0.0000"/>
    <numFmt numFmtId="196" formatCode="#,##0.000"/>
    <numFmt numFmtId="197" formatCode="_ * #,##0_ ;_ * \-#,##0_ ;_ * &quot;-&quot;??_ ;_ @_ "/>
    <numFmt numFmtId="198" formatCode="0.000"/>
    <numFmt numFmtId="199" formatCode="&quot;Porcentaje Adicional para los Gastos (&quot;\ 0.0%&quot;) de los ICLD&quot;"/>
    <numFmt numFmtId="200" formatCode="&quot;2. LÍMITE ESTABLECIDO POR LA LEY (&quot;\ 0.0%&quot; de los ICLD)&quot;"/>
    <numFmt numFmtId="201" formatCode="&quot;LÍMITE ESTABLECIDO POR LA LEY (% de los ICLD O SMLV)=&quot;\ 0.000"/>
    <numFmt numFmtId="202" formatCode="m/d/yyyy;@"/>
    <numFmt numFmtId="203" formatCode="d/mm/yyyy;@"/>
  </numFmts>
  <fonts count="76">
    <font>
      <sz val="10"/>
      <name val="Arial"/>
    </font>
    <font>
      <sz val="10"/>
      <name val="Arial"/>
    </font>
    <font>
      <b/>
      <sz val="18"/>
      <name val="Arial"/>
      <family val="2"/>
    </font>
    <font>
      <b/>
      <i/>
      <sz val="12"/>
      <name val="Arial"/>
      <family val="2"/>
    </font>
    <font>
      <sz val="10"/>
      <name val="Arial"/>
      <family val="2"/>
    </font>
    <font>
      <sz val="8"/>
      <name val="Arial"/>
      <family val="2"/>
    </font>
    <font>
      <i/>
      <sz val="10"/>
      <name val="Arial"/>
      <family val="2"/>
    </font>
    <font>
      <b/>
      <sz val="10"/>
      <name val="Arial"/>
      <family val="2"/>
    </font>
    <font>
      <b/>
      <sz val="8"/>
      <name val="Arial"/>
      <family val="2"/>
    </font>
    <font>
      <b/>
      <sz val="12"/>
      <name val="Arial"/>
      <family val="2"/>
    </font>
    <font>
      <b/>
      <sz val="10"/>
      <color indexed="10"/>
      <name val="Arial"/>
      <family val="2"/>
    </font>
    <font>
      <sz val="12"/>
      <name val="Arial"/>
      <family val="2"/>
    </font>
    <font>
      <b/>
      <sz val="9"/>
      <color indexed="8"/>
      <name val="Tahoma"/>
      <family val="2"/>
    </font>
    <font>
      <sz val="8"/>
      <name val="Tahoma"/>
      <family val="2"/>
    </font>
    <font>
      <sz val="9"/>
      <color indexed="8"/>
      <name val="Tahoma"/>
      <family val="2"/>
    </font>
    <font>
      <b/>
      <sz val="9"/>
      <name val="Tahoma"/>
      <family val="2"/>
    </font>
    <font>
      <sz val="9"/>
      <name val="Tahoma"/>
      <family val="2"/>
    </font>
    <font>
      <sz val="9"/>
      <name val="Arial"/>
      <family val="2"/>
    </font>
    <font>
      <b/>
      <sz val="9"/>
      <name val="Arial"/>
      <family val="2"/>
    </font>
    <font>
      <b/>
      <sz val="9"/>
      <color indexed="9"/>
      <name val="Arial"/>
      <family val="2"/>
    </font>
    <font>
      <b/>
      <sz val="11"/>
      <color indexed="9"/>
      <name val="Arial"/>
      <family val="2"/>
    </font>
    <font>
      <b/>
      <sz val="12"/>
      <color indexed="9"/>
      <name val="Arial"/>
      <family val="2"/>
    </font>
    <font>
      <b/>
      <i/>
      <sz val="9"/>
      <color indexed="8"/>
      <name val="Tahoma"/>
      <family val="2"/>
    </font>
    <font>
      <sz val="10"/>
      <name val="Arial"/>
      <family val="2"/>
    </font>
    <font>
      <b/>
      <sz val="11"/>
      <name val="Arial"/>
      <family val="2"/>
    </font>
    <font>
      <sz val="10"/>
      <color indexed="10"/>
      <name val="Arial"/>
      <family val="2"/>
    </font>
    <font>
      <sz val="8"/>
      <color indexed="81"/>
      <name val="Tahoma"/>
      <family val="2"/>
    </font>
    <font>
      <b/>
      <sz val="7"/>
      <name val="Arial"/>
      <family val="2"/>
    </font>
    <font>
      <sz val="7"/>
      <name val="Arial"/>
      <family val="2"/>
    </font>
    <font>
      <b/>
      <sz val="7"/>
      <color indexed="8"/>
      <name val="Arial"/>
      <family val="2"/>
    </font>
    <font>
      <b/>
      <sz val="9"/>
      <color indexed="53"/>
      <name val="Tahoma"/>
      <family val="2"/>
    </font>
    <font>
      <sz val="9"/>
      <name val="Arial"/>
      <family val="2"/>
    </font>
    <font>
      <b/>
      <sz val="8"/>
      <name val="Tahoma"/>
      <family val="2"/>
    </font>
    <font>
      <sz val="8"/>
      <name val="Arial"/>
      <family val="2"/>
    </font>
    <font>
      <sz val="9"/>
      <color indexed="9"/>
      <name val="Tahoma"/>
      <family val="2"/>
    </font>
    <font>
      <sz val="7"/>
      <color indexed="10"/>
      <name val="Arial"/>
      <family val="2"/>
    </font>
    <font>
      <b/>
      <sz val="8"/>
      <color indexed="81"/>
      <name val="Tahoma"/>
      <family val="2"/>
    </font>
    <font>
      <b/>
      <sz val="8"/>
      <color indexed="81"/>
      <name val="Tahoma"/>
      <family val="2"/>
    </font>
    <font>
      <b/>
      <sz val="10"/>
      <color indexed="8"/>
      <name val="Arial Unicode MS"/>
      <family val="2"/>
    </font>
    <font>
      <sz val="10"/>
      <color indexed="8"/>
      <name val="Arial Unicode MS"/>
      <family val="2"/>
    </font>
    <font>
      <sz val="10"/>
      <name val="Arial Unicode MS"/>
      <family val="2"/>
    </font>
    <font>
      <b/>
      <sz val="10"/>
      <name val="Arial Unicode MS"/>
      <family val="2"/>
    </font>
    <font>
      <b/>
      <sz val="10"/>
      <color indexed="10"/>
      <name val="Arial Unicode MS"/>
      <family val="2"/>
    </font>
    <font>
      <i/>
      <sz val="10"/>
      <name val="Arial Unicode MS"/>
      <family val="2"/>
    </font>
    <font>
      <b/>
      <i/>
      <sz val="10"/>
      <color indexed="8"/>
      <name val="Arial Unicode MS"/>
      <family val="2"/>
    </font>
    <font>
      <b/>
      <sz val="18"/>
      <name val="Arial Unicode MS"/>
      <family val="2"/>
    </font>
    <font>
      <b/>
      <i/>
      <sz val="12"/>
      <name val="Arial Unicode MS"/>
      <family val="2"/>
    </font>
    <font>
      <b/>
      <sz val="8"/>
      <name val="Arial Unicode MS"/>
      <family val="2"/>
    </font>
    <font>
      <sz val="8"/>
      <name val="Arial Unicode MS"/>
      <family val="2"/>
    </font>
    <font>
      <b/>
      <sz val="7"/>
      <name val="Arial Unicode MS"/>
      <family val="2"/>
    </font>
    <font>
      <sz val="10"/>
      <color indexed="10"/>
      <name val="Arial"/>
      <family val="2"/>
    </font>
    <font>
      <sz val="10"/>
      <color indexed="10"/>
      <name val="Arial Unicode MS"/>
      <family val="2"/>
    </font>
    <font>
      <b/>
      <sz val="9"/>
      <name val="Arial Unicode MS"/>
      <family val="2"/>
    </font>
    <font>
      <b/>
      <sz val="11"/>
      <color indexed="8"/>
      <name val="Arial"/>
      <family val="2"/>
    </font>
    <font>
      <b/>
      <i/>
      <sz val="12"/>
      <color indexed="8"/>
      <name val="Arial"/>
      <family val="2"/>
    </font>
    <font>
      <b/>
      <sz val="10"/>
      <color indexed="8"/>
      <name val="Arial"/>
      <family val="2"/>
    </font>
    <font>
      <b/>
      <sz val="11"/>
      <name val="Arial"/>
      <family val="2"/>
    </font>
    <font>
      <sz val="10"/>
      <color indexed="81"/>
      <name val="Tahoma"/>
      <family val="2"/>
    </font>
    <font>
      <b/>
      <sz val="10"/>
      <color indexed="81"/>
      <name val="Tahoma"/>
      <family val="2"/>
    </font>
    <font>
      <b/>
      <sz val="9"/>
      <color indexed="81"/>
      <name val="Tahoma"/>
      <family val="2"/>
    </font>
    <font>
      <sz val="9"/>
      <color indexed="81"/>
      <name val="Tahoma"/>
      <family val="2"/>
    </font>
    <font>
      <b/>
      <sz val="8"/>
      <color indexed="10"/>
      <name val="Arial"/>
      <family val="2"/>
    </font>
    <font>
      <sz val="9"/>
      <color indexed="9"/>
      <name val="Arial"/>
      <family val="2"/>
    </font>
    <font>
      <sz val="10"/>
      <color indexed="8"/>
      <name val="Arial"/>
      <family val="2"/>
    </font>
    <font>
      <sz val="10"/>
      <name val="Arial"/>
      <family val="2"/>
    </font>
    <font>
      <b/>
      <i/>
      <sz val="8"/>
      <name val="Arial"/>
      <family val="2"/>
    </font>
    <font>
      <sz val="9"/>
      <name val="Arial Unicode MS"/>
      <family val="2"/>
    </font>
    <font>
      <b/>
      <i/>
      <sz val="9"/>
      <name val="Arial Unicode MS"/>
      <family val="2"/>
    </font>
    <font>
      <sz val="10"/>
      <color indexed="8"/>
      <name val="Arial"/>
      <family val="2"/>
    </font>
    <font>
      <sz val="12"/>
      <name val="Arial"/>
      <family val="2"/>
    </font>
    <font>
      <sz val="12"/>
      <color indexed="10"/>
      <name val="MS Sans Serif"/>
      <family val="2"/>
    </font>
    <font>
      <sz val="12"/>
      <color indexed="10"/>
      <name val="Arial"/>
      <family val="2"/>
    </font>
    <font>
      <sz val="14"/>
      <name val="Arial"/>
      <family val="2"/>
    </font>
    <font>
      <sz val="13.5"/>
      <color indexed="8"/>
      <name val="MS Sans Serif"/>
      <family val="2"/>
    </font>
    <font>
      <b/>
      <i/>
      <sz val="10"/>
      <name val="Arial Unicode MS"/>
      <family val="2"/>
    </font>
    <font>
      <sz val="11"/>
      <name val="Arial"/>
      <family val="2"/>
    </font>
  </fonts>
  <fills count="28">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11"/>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51"/>
        <bgColor indexed="64"/>
      </patternFill>
    </fill>
    <fill>
      <patternFill patternType="solid">
        <fgColor indexed="40"/>
        <bgColor indexed="64"/>
      </patternFill>
    </fill>
    <fill>
      <patternFill patternType="solid">
        <fgColor indexed="17"/>
        <bgColor indexed="64"/>
      </patternFill>
    </fill>
    <fill>
      <patternFill patternType="solid">
        <fgColor indexed="45"/>
        <bgColor indexed="64"/>
      </patternFill>
    </fill>
    <fill>
      <patternFill patternType="solid">
        <fgColor indexed="53"/>
        <bgColor indexed="64"/>
      </patternFill>
    </fill>
    <fill>
      <patternFill patternType="solid">
        <fgColor indexed="48"/>
        <bgColor indexed="64"/>
      </patternFill>
    </fill>
    <fill>
      <patternFill patternType="solid">
        <fgColor indexed="23"/>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12"/>
        <bgColor indexed="64"/>
      </patternFill>
    </fill>
    <fill>
      <patternFill patternType="solid">
        <fgColor indexed="10"/>
        <bgColor indexed="64"/>
      </patternFill>
    </fill>
    <fill>
      <patternFill patternType="solid">
        <fgColor rgb="FFFFFF00"/>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s>
  <cellStyleXfs count="6">
    <xf numFmtId="0" fontId="0" fillId="0" borderId="0"/>
    <xf numFmtId="0" fontId="1" fillId="0" borderId="0" applyFont="0" applyFill="0" applyBorder="0" applyAlignment="0" applyProtection="0"/>
    <xf numFmtId="177" fontId="1" fillId="0" borderId="0" applyFont="0" applyFill="0" applyBorder="0" applyAlignment="0" applyProtection="0"/>
    <xf numFmtId="0" fontId="68" fillId="0" borderId="0"/>
    <xf numFmtId="0" fontId="68" fillId="0" borderId="0"/>
    <xf numFmtId="9" fontId="1" fillId="0" borderId="0" applyFont="0" applyFill="0" applyBorder="0" applyAlignment="0" applyProtection="0"/>
  </cellStyleXfs>
  <cellXfs count="1328">
    <xf numFmtId="0" fontId="0" fillId="0" borderId="0" xfId="0"/>
    <xf numFmtId="0" fontId="0" fillId="0" borderId="0" xfId="0" applyProtection="1"/>
    <xf numFmtId="0" fontId="3" fillId="0" borderId="0" xfId="0" applyFont="1" applyProtection="1"/>
    <xf numFmtId="0" fontId="0" fillId="0" borderId="0" xfId="0" applyBorder="1" applyProtection="1"/>
    <xf numFmtId="0" fontId="0" fillId="0" borderId="0" xfId="0" applyAlignment="1" applyProtection="1"/>
    <xf numFmtId="0" fontId="0" fillId="0" borderId="0" xfId="0" applyFill="1" applyBorder="1" applyProtection="1"/>
    <xf numFmtId="3" fontId="0" fillId="0" borderId="2" xfId="0" applyNumberFormat="1" applyFill="1" applyBorder="1" applyProtection="1">
      <protection locked="0"/>
    </xf>
    <xf numFmtId="0" fontId="4" fillId="0" borderId="0" xfId="0" applyFont="1" applyBorder="1" applyProtection="1"/>
    <xf numFmtId="0" fontId="2" fillId="0" borderId="0" xfId="0" applyFont="1" applyFill="1" applyProtection="1"/>
    <xf numFmtId="0" fontId="0" fillId="0" borderId="0" xfId="0" applyFill="1" applyProtection="1"/>
    <xf numFmtId="0" fontId="3" fillId="0" borderId="0" xfId="0" applyFont="1" applyFill="1" applyProtection="1"/>
    <xf numFmtId="0" fontId="7" fillId="0" borderId="0" xfId="0" applyFont="1" applyFill="1" applyProtection="1"/>
    <xf numFmtId="0" fontId="7" fillId="0" borderId="0" xfId="0" applyFont="1" applyProtection="1"/>
    <xf numFmtId="3" fontId="0" fillId="0" borderId="0" xfId="0" applyNumberFormat="1" applyProtection="1"/>
    <xf numFmtId="3" fontId="0" fillId="0" borderId="0" xfId="0" applyNumberFormat="1" applyFill="1" applyProtection="1"/>
    <xf numFmtId="3" fontId="0" fillId="0" borderId="0" xfId="0" applyNumberFormat="1" applyBorder="1" applyProtection="1"/>
    <xf numFmtId="3" fontId="4" fillId="0" borderId="2" xfId="0" applyNumberFormat="1" applyFont="1" applyFill="1" applyBorder="1" applyProtection="1">
      <protection locked="0"/>
    </xf>
    <xf numFmtId="0" fontId="27" fillId="0" borderId="2" xfId="0" applyNumberFormat="1" applyFont="1" applyBorder="1" applyAlignment="1" applyProtection="1">
      <alignment horizontal="left"/>
    </xf>
    <xf numFmtId="0" fontId="28" fillId="0" borderId="2" xfId="0" applyNumberFormat="1" applyFont="1" applyFill="1" applyBorder="1" applyAlignment="1" applyProtection="1">
      <alignment horizontal="left"/>
    </xf>
    <xf numFmtId="0" fontId="28" fillId="0" borderId="2" xfId="0" applyNumberFormat="1" applyFont="1" applyBorder="1" applyAlignment="1" applyProtection="1">
      <alignment horizontal="left"/>
    </xf>
    <xf numFmtId="0" fontId="27" fillId="0" borderId="3" xfId="0" applyNumberFormat="1" applyFont="1" applyBorder="1" applyAlignment="1" applyProtection="1">
      <alignment horizontal="left"/>
    </xf>
    <xf numFmtId="0" fontId="27" fillId="0" borderId="2" xfId="0" applyNumberFormat="1" applyFont="1" applyFill="1" applyBorder="1" applyAlignment="1" applyProtection="1">
      <alignment horizontal="left"/>
    </xf>
    <xf numFmtId="0" fontId="0" fillId="0" borderId="2" xfId="0" applyBorder="1" applyAlignment="1" applyProtection="1"/>
    <xf numFmtId="0" fontId="0" fillId="0" borderId="3" xfId="0" applyBorder="1" applyAlignment="1" applyProtection="1"/>
    <xf numFmtId="0" fontId="28" fillId="2" borderId="4" xfId="0" applyNumberFormat="1" applyFont="1" applyFill="1" applyBorder="1" applyAlignment="1" applyProtection="1">
      <alignment horizontal="left"/>
    </xf>
    <xf numFmtId="0" fontId="4" fillId="0" borderId="5" xfId="0" applyFont="1" applyFill="1" applyBorder="1" applyProtection="1">
      <protection locked="0"/>
    </xf>
    <xf numFmtId="0" fontId="4" fillId="0" borderId="6" xfId="0" applyFont="1" applyFill="1" applyBorder="1" applyProtection="1">
      <protection locked="0"/>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9" fontId="4" fillId="0" borderId="8" xfId="5" applyFont="1" applyFill="1" applyBorder="1" applyAlignment="1" applyProtection="1">
      <alignment horizontal="center"/>
      <protection locked="0"/>
    </xf>
    <xf numFmtId="197" fontId="12" fillId="2" borderId="9" xfId="2" applyNumberFormat="1" applyFont="1" applyFill="1" applyBorder="1" applyAlignment="1" applyProtection="1">
      <alignment horizontal="center"/>
    </xf>
    <xf numFmtId="9" fontId="12" fillId="2" borderId="9" xfId="5" applyFont="1" applyFill="1" applyBorder="1" applyAlignment="1" applyProtection="1">
      <alignment horizontal="center"/>
    </xf>
    <xf numFmtId="3" fontId="7" fillId="0" borderId="2" xfId="0" applyNumberFormat="1" applyFont="1" applyFill="1" applyBorder="1" applyProtection="1"/>
    <xf numFmtId="3" fontId="0" fillId="0" borderId="0" xfId="0" applyNumberFormat="1" applyFill="1" applyBorder="1" applyProtection="1"/>
    <xf numFmtId="0" fontId="7" fillId="0" borderId="10" xfId="0" applyFont="1" applyBorder="1" applyProtection="1"/>
    <xf numFmtId="0" fontId="7" fillId="0" borderId="10" xfId="0" applyFont="1" applyBorder="1" applyAlignment="1" applyProtection="1"/>
    <xf numFmtId="0" fontId="0" fillId="0" borderId="0" xfId="0" applyFill="1" applyBorder="1" applyAlignment="1" applyProtection="1"/>
    <xf numFmtId="9" fontId="0" fillId="0" borderId="0" xfId="5" applyFont="1" applyProtection="1"/>
    <xf numFmtId="9" fontId="0" fillId="0" borderId="0" xfId="5" applyFont="1" applyFill="1" applyBorder="1" applyProtection="1"/>
    <xf numFmtId="9" fontId="0" fillId="0" borderId="0" xfId="5" applyFont="1" applyFill="1" applyProtection="1"/>
    <xf numFmtId="0" fontId="0" fillId="0" borderId="0" xfId="0" applyFill="1" applyBorder="1" applyAlignment="1" applyProtection="1">
      <alignment horizontal="center"/>
    </xf>
    <xf numFmtId="0" fontId="3" fillId="0" borderId="0" xfId="0" applyFont="1" applyFill="1" applyBorder="1" applyProtection="1"/>
    <xf numFmtId="0" fontId="7" fillId="0" borderId="0" xfId="0" applyFont="1" applyFill="1" applyBorder="1" applyProtection="1"/>
    <xf numFmtId="0" fontId="4" fillId="0" borderId="0" xfId="0" applyFont="1" applyProtection="1"/>
    <xf numFmtId="3" fontId="4" fillId="0" borderId="2" xfId="0" applyNumberFormat="1" applyFont="1" applyFill="1" applyBorder="1" applyProtection="1"/>
    <xf numFmtId="0" fontId="4" fillId="0" borderId="0" xfId="0" applyFont="1" applyFill="1" applyProtection="1"/>
    <xf numFmtId="3" fontId="4" fillId="0" borderId="3" xfId="0" applyNumberFormat="1" applyFont="1" applyFill="1" applyBorder="1" applyProtection="1"/>
    <xf numFmtId="0" fontId="27" fillId="0" borderId="2" xfId="0" applyFont="1" applyBorder="1" applyProtection="1"/>
    <xf numFmtId="3" fontId="7" fillId="0" borderId="10" xfId="0" applyNumberFormat="1" applyFont="1" applyFill="1" applyBorder="1" applyProtection="1"/>
    <xf numFmtId="9" fontId="7" fillId="0" borderId="10" xfId="5" applyFont="1" applyBorder="1" applyProtection="1"/>
    <xf numFmtId="9" fontId="7" fillId="0" borderId="2" xfId="5" applyFont="1" applyBorder="1" applyProtection="1"/>
    <xf numFmtId="3" fontId="7" fillId="0" borderId="0" xfId="0" applyNumberFormat="1" applyFont="1" applyFill="1" applyBorder="1" applyProtection="1"/>
    <xf numFmtId="9" fontId="0" fillId="0" borderId="2" xfId="5" applyFont="1" applyBorder="1" applyProtection="1"/>
    <xf numFmtId="0" fontId="28" fillId="0" borderId="2" xfId="0" applyFont="1" applyBorder="1" applyProtection="1"/>
    <xf numFmtId="0" fontId="28" fillId="0" borderId="2" xfId="0" applyFont="1" applyFill="1" applyBorder="1" applyProtection="1"/>
    <xf numFmtId="9" fontId="4" fillId="0" borderId="2" xfId="5" applyFont="1" applyBorder="1" applyProtection="1"/>
    <xf numFmtId="0" fontId="27" fillId="0" borderId="2" xfId="0" applyFont="1" applyFill="1" applyBorder="1" applyProtection="1"/>
    <xf numFmtId="0" fontId="27" fillId="0" borderId="2" xfId="0" applyFont="1" applyFill="1" applyBorder="1" applyAlignment="1" applyProtection="1">
      <alignment horizontal="left"/>
    </xf>
    <xf numFmtId="0" fontId="27" fillId="0" borderId="2" xfId="0" applyFont="1" applyBorder="1" applyAlignment="1" applyProtection="1">
      <alignment horizontal="left"/>
    </xf>
    <xf numFmtId="9" fontId="4" fillId="0" borderId="3" xfId="5" applyFont="1" applyFill="1" applyBorder="1" applyProtection="1"/>
    <xf numFmtId="9" fontId="0" fillId="0" borderId="3" xfId="5" applyFont="1" applyBorder="1" applyProtection="1"/>
    <xf numFmtId="3" fontId="4" fillId="0" borderId="2" xfId="0" applyNumberFormat="1" applyFont="1" applyBorder="1" applyProtection="1"/>
    <xf numFmtId="3" fontId="4" fillId="0" borderId="3" xfId="0" applyNumberFormat="1" applyFont="1" applyBorder="1" applyProtection="1"/>
    <xf numFmtId="9" fontId="0" fillId="0" borderId="0" xfId="5" applyFont="1" applyBorder="1" applyProtection="1"/>
    <xf numFmtId="0" fontId="7" fillId="0" borderId="2" xfId="0" applyFont="1" applyBorder="1" applyAlignment="1" applyProtection="1">
      <alignment horizontal="right" vertical="center" wrapText="1"/>
    </xf>
    <xf numFmtId="0" fontId="7" fillId="0" borderId="10" xfId="0" applyFont="1" applyFill="1" applyBorder="1" applyAlignment="1" applyProtection="1">
      <alignment horizontal="right" vertical="center" wrapText="1"/>
    </xf>
    <xf numFmtId="0" fontId="0" fillId="0" borderId="2" xfId="0" applyNumberFormat="1" applyBorder="1" applyAlignment="1" applyProtection="1"/>
    <xf numFmtId="0" fontId="7" fillId="0" borderId="2" xfId="0" applyFont="1" applyFill="1" applyBorder="1" applyAlignment="1" applyProtection="1">
      <alignment horizontal="right" vertical="center" wrapText="1"/>
    </xf>
    <xf numFmtId="3" fontId="4" fillId="0" borderId="0" xfId="0" applyNumberFormat="1" applyFont="1" applyBorder="1" applyProtection="1"/>
    <xf numFmtId="3" fontId="4" fillId="0" borderId="11" xfId="0" applyNumberFormat="1" applyFont="1" applyBorder="1" applyProtection="1">
      <protection locked="0"/>
    </xf>
    <xf numFmtId="3" fontId="0" fillId="0" borderId="3" xfId="0" applyNumberFormat="1" applyFill="1" applyBorder="1" applyProtection="1">
      <protection locked="0"/>
    </xf>
    <xf numFmtId="0" fontId="0" fillId="0" borderId="2" xfId="0" applyBorder="1" applyAlignment="1" applyProtection="1">
      <protection locked="0"/>
    </xf>
    <xf numFmtId="3" fontId="7" fillId="0" borderId="2" xfId="0" applyNumberFormat="1" applyFont="1" applyBorder="1" applyProtection="1">
      <protection locked="0"/>
    </xf>
    <xf numFmtId="0" fontId="0" fillId="0" borderId="3" xfId="0" applyBorder="1" applyProtection="1">
      <protection locked="0"/>
    </xf>
    <xf numFmtId="0" fontId="4" fillId="0" borderId="0" xfId="0" applyFont="1" applyFill="1" applyBorder="1" applyProtection="1"/>
    <xf numFmtId="0" fontId="0" fillId="0" borderId="2" xfId="0" applyFill="1" applyBorder="1" applyProtection="1"/>
    <xf numFmtId="9" fontId="0" fillId="0" borderId="2" xfId="5" applyFont="1" applyBorder="1" applyProtection="1">
      <protection locked="0"/>
    </xf>
    <xf numFmtId="0" fontId="7" fillId="0" borderId="9" xfId="0" applyFont="1" applyFill="1" applyBorder="1" applyAlignment="1" applyProtection="1">
      <alignment horizontal="center" vertical="center" wrapText="1"/>
    </xf>
    <xf numFmtId="0" fontId="27" fillId="2" borderId="9" xfId="0" applyFont="1" applyFill="1" applyBorder="1" applyAlignment="1" applyProtection="1">
      <alignment horizontal="left"/>
    </xf>
    <xf numFmtId="0" fontId="27" fillId="2" borderId="12" xfId="0" applyFont="1" applyFill="1" applyBorder="1" applyAlignment="1" applyProtection="1">
      <alignment horizontal="left"/>
    </xf>
    <xf numFmtId="0" fontId="27" fillId="2" borderId="11" xfId="0" applyFont="1" applyFill="1" applyBorder="1" applyAlignment="1" applyProtection="1">
      <alignment horizontal="left"/>
    </xf>
    <xf numFmtId="0" fontId="0" fillId="0" borderId="0" xfId="0" applyBorder="1" applyAlignment="1" applyProtection="1">
      <alignment horizontal="centerContinuous"/>
    </xf>
    <xf numFmtId="0" fontId="9" fillId="0" borderId="0" xfId="0" applyFont="1" applyFill="1" applyProtection="1"/>
    <xf numFmtId="0" fontId="0" fillId="0" borderId="10" xfId="0" applyFill="1" applyBorder="1" applyAlignment="1" applyProtection="1"/>
    <xf numFmtId="0" fontId="27" fillId="0" borderId="10" xfId="0" applyFont="1" applyBorder="1" applyProtection="1"/>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Alignment="1" applyProtection="1">
      <alignment vertical="center"/>
    </xf>
    <xf numFmtId="0" fontId="18" fillId="0" borderId="0" xfId="0" applyFont="1" applyAlignment="1" applyProtection="1">
      <alignment vertical="center"/>
    </xf>
    <xf numFmtId="0" fontId="7" fillId="2"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18" fillId="2" borderId="0" xfId="0" applyFont="1" applyFill="1" applyAlignment="1" applyProtection="1">
      <alignment vertical="center"/>
    </xf>
    <xf numFmtId="0" fontId="5" fillId="2" borderId="0" xfId="0" applyFont="1" applyFill="1" applyAlignment="1" applyProtection="1">
      <alignment horizontal="right" vertical="center" wrapText="1"/>
    </xf>
    <xf numFmtId="0" fontId="4" fillId="2" borderId="8"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xf>
    <xf numFmtId="0" fontId="18" fillId="2" borderId="15"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0" borderId="0" xfId="0" applyFont="1" applyAlignment="1" applyProtection="1">
      <alignment vertical="center"/>
    </xf>
    <xf numFmtId="0" fontId="7" fillId="2" borderId="22"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xf>
    <xf numFmtId="0" fontId="17" fillId="2" borderId="25" xfId="0" applyFont="1" applyFill="1" applyBorder="1" applyAlignment="1" applyProtection="1">
      <alignment vertical="center"/>
    </xf>
    <xf numFmtId="0" fontId="4" fillId="2" borderId="14" xfId="0" applyFont="1" applyFill="1" applyBorder="1" applyAlignment="1" applyProtection="1">
      <alignment horizontal="right" vertical="center" wrapText="1"/>
    </xf>
    <xf numFmtId="1" fontId="4" fillId="2" borderId="14" xfId="0" applyNumberFormat="1" applyFont="1" applyFill="1" applyBorder="1" applyAlignment="1" applyProtection="1">
      <alignment horizontal="right" vertical="center" wrapText="1"/>
    </xf>
    <xf numFmtId="1" fontId="4" fillId="2" borderId="26" xfId="0" applyNumberFormat="1" applyFont="1" applyFill="1" applyBorder="1" applyAlignment="1" applyProtection="1">
      <alignment horizontal="right" vertical="center" wrapText="1"/>
    </xf>
    <xf numFmtId="1" fontId="4" fillId="2" borderId="27" xfId="0" applyNumberFormat="1" applyFont="1" applyFill="1" applyBorder="1" applyAlignment="1" applyProtection="1">
      <alignment horizontal="right" vertical="center"/>
    </xf>
    <xf numFmtId="0" fontId="18" fillId="2" borderId="28" xfId="0" applyFont="1" applyFill="1" applyBorder="1" applyAlignment="1" applyProtection="1">
      <alignment vertical="center"/>
    </xf>
    <xf numFmtId="1" fontId="7" fillId="2" borderId="16" xfId="0" applyNumberFormat="1" applyFont="1" applyFill="1" applyBorder="1" applyAlignment="1" applyProtection="1">
      <alignment horizontal="right" vertical="center" wrapText="1"/>
    </xf>
    <xf numFmtId="1" fontId="7" fillId="2" borderId="17" xfId="0" applyNumberFormat="1" applyFont="1" applyFill="1" applyBorder="1" applyAlignment="1" applyProtection="1">
      <alignment horizontal="right" vertical="center" wrapText="1"/>
    </xf>
    <xf numFmtId="1" fontId="7" fillId="2" borderId="18" xfId="0" applyNumberFormat="1" applyFont="1" applyFill="1" applyBorder="1" applyAlignment="1" applyProtection="1">
      <alignment horizontal="right" vertical="center" wrapText="1"/>
    </xf>
    <xf numFmtId="1" fontId="7" fillId="2" borderId="19" xfId="0" applyNumberFormat="1" applyFont="1" applyFill="1" applyBorder="1" applyAlignment="1" applyProtection="1">
      <alignment horizontal="right" vertical="center" wrapText="1"/>
    </xf>
    <xf numFmtId="1" fontId="7" fillId="2" borderId="20" xfId="0" applyNumberFormat="1" applyFont="1" applyFill="1" applyBorder="1" applyAlignment="1" applyProtection="1">
      <alignment horizontal="right" vertical="center" wrapText="1"/>
    </xf>
    <xf numFmtId="1" fontId="7" fillId="2" borderId="21" xfId="0" applyNumberFormat="1" applyFont="1" applyFill="1" applyBorder="1" applyAlignment="1" applyProtection="1">
      <alignment horizontal="right" vertical="center" wrapText="1"/>
    </xf>
    <xf numFmtId="0" fontId="19" fillId="2" borderId="29" xfId="0" applyFont="1" applyFill="1" applyBorder="1" applyAlignment="1" applyProtection="1">
      <alignment vertical="center"/>
    </xf>
    <xf numFmtId="0" fontId="4" fillId="2" borderId="30" xfId="0" applyFont="1" applyFill="1" applyBorder="1" applyAlignment="1" applyProtection="1">
      <alignment horizontal="right" vertical="center" wrapText="1"/>
    </xf>
    <xf numFmtId="0" fontId="4" fillId="2" borderId="31" xfId="0" applyFont="1" applyFill="1" applyBorder="1" applyAlignment="1" applyProtection="1">
      <alignment horizontal="right" vertical="center" wrapText="1"/>
    </xf>
    <xf numFmtId="0" fontId="4" fillId="2" borderId="32" xfId="0" applyFont="1" applyFill="1" applyBorder="1" applyAlignment="1" applyProtection="1">
      <alignment horizontal="right" vertical="center"/>
    </xf>
    <xf numFmtId="0" fontId="7" fillId="2" borderId="16" xfId="0" applyFont="1" applyFill="1" applyBorder="1" applyAlignment="1" applyProtection="1">
      <alignment horizontal="right" vertical="center" wrapText="1"/>
    </xf>
    <xf numFmtId="0" fontId="7" fillId="2" borderId="17" xfId="0" applyFont="1" applyFill="1" applyBorder="1" applyAlignment="1" applyProtection="1">
      <alignment horizontal="right" vertical="center" wrapText="1"/>
    </xf>
    <xf numFmtId="0" fontId="7" fillId="2" borderId="18" xfId="0" applyFont="1" applyFill="1" applyBorder="1" applyAlignment="1" applyProtection="1">
      <alignment horizontal="right" vertical="center" wrapText="1"/>
    </xf>
    <xf numFmtId="0" fontId="7" fillId="2" borderId="19" xfId="0" applyFont="1" applyFill="1" applyBorder="1" applyAlignment="1" applyProtection="1">
      <alignment horizontal="right" vertical="center" wrapText="1"/>
    </xf>
    <xf numFmtId="0" fontId="7" fillId="2" borderId="20" xfId="0" applyFont="1" applyFill="1" applyBorder="1" applyAlignment="1" applyProtection="1">
      <alignment horizontal="right" vertical="center" wrapText="1"/>
    </xf>
    <xf numFmtId="0" fontId="7" fillId="2" borderId="21" xfId="0" applyFont="1" applyFill="1" applyBorder="1" applyAlignment="1" applyProtection="1">
      <alignment horizontal="right" vertical="center" wrapText="1"/>
    </xf>
    <xf numFmtId="0" fontId="17" fillId="2" borderId="0" xfId="0" applyFont="1" applyFill="1" applyAlignment="1" applyProtection="1">
      <alignment vertical="center"/>
    </xf>
    <xf numFmtId="0" fontId="4" fillId="2" borderId="0" xfId="0" applyFont="1" applyFill="1" applyAlignment="1" applyProtection="1">
      <alignment horizontal="center" vertical="center" wrapText="1"/>
    </xf>
    <xf numFmtId="0" fontId="4" fillId="2" borderId="0" xfId="0" applyFont="1" applyFill="1" applyAlignment="1" applyProtection="1">
      <alignment horizontal="center" vertical="center"/>
    </xf>
    <xf numFmtId="0" fontId="4" fillId="2" borderId="0" xfId="0" applyFont="1" applyFill="1" applyAlignment="1" applyProtection="1">
      <alignment vertical="center"/>
    </xf>
    <xf numFmtId="0" fontId="4" fillId="2" borderId="0" xfId="0" applyFont="1" applyFill="1" applyAlignment="1" applyProtection="1">
      <alignment horizontal="right" vertical="center" wrapText="1"/>
    </xf>
    <xf numFmtId="0" fontId="7" fillId="2" borderId="17" xfId="0" applyFont="1" applyFill="1" applyBorder="1" applyAlignment="1" applyProtection="1">
      <alignment horizontal="center" vertical="center" wrapText="1"/>
    </xf>
    <xf numFmtId="0" fontId="20" fillId="2" borderId="0" xfId="0" applyFont="1" applyFill="1" applyAlignment="1" applyProtection="1">
      <alignment horizontal="right" vertical="center" wrapText="1"/>
    </xf>
    <xf numFmtId="0" fontId="4" fillId="0" borderId="0" xfId="0" applyFont="1" applyFill="1" applyAlignment="1" applyProtection="1">
      <alignment vertical="center"/>
    </xf>
    <xf numFmtId="0" fontId="17" fillId="2" borderId="29" xfId="0" applyFont="1" applyFill="1" applyBorder="1" applyAlignment="1" applyProtection="1">
      <alignment vertical="center"/>
    </xf>
    <xf numFmtId="0" fontId="4" fillId="2" borderId="16" xfId="0" applyFont="1" applyFill="1" applyBorder="1" applyAlignment="1" applyProtection="1">
      <alignment horizontal="right" vertical="center" wrapText="1"/>
    </xf>
    <xf numFmtId="0" fontId="7" fillId="2" borderId="0" xfId="0" applyFont="1" applyFill="1" applyBorder="1" applyAlignment="1" applyProtection="1">
      <alignment horizontal="right" vertical="center" wrapText="1"/>
    </xf>
    <xf numFmtId="0" fontId="17" fillId="2" borderId="33" xfId="0" applyFont="1" applyFill="1" applyBorder="1" applyAlignment="1" applyProtection="1">
      <alignment vertical="center"/>
    </xf>
    <xf numFmtId="0" fontId="18" fillId="2" borderId="28" xfId="0" applyFont="1" applyFill="1" applyBorder="1" applyAlignment="1" applyProtection="1">
      <alignment vertical="center" wrapText="1"/>
    </xf>
    <xf numFmtId="0" fontId="21" fillId="3" borderId="0" xfId="0" applyFont="1" applyFill="1" applyAlignment="1" applyProtection="1">
      <alignment vertical="center"/>
    </xf>
    <xf numFmtId="0" fontId="21" fillId="3" borderId="0" xfId="0" applyFont="1" applyFill="1" applyAlignment="1" applyProtection="1">
      <alignment horizontal="right" vertical="center" wrapText="1"/>
    </xf>
    <xf numFmtId="0" fontId="11" fillId="3" borderId="0" xfId="0" applyFont="1" applyFill="1" applyAlignment="1" applyProtection="1">
      <alignment horizontal="center" vertical="center" wrapText="1"/>
    </xf>
    <xf numFmtId="0" fontId="17" fillId="0" borderId="0" xfId="0" applyFont="1" applyAlignment="1" applyProtection="1">
      <alignment vertical="center"/>
    </xf>
    <xf numFmtId="14" fontId="4" fillId="0" borderId="0" xfId="0" applyNumberFormat="1" applyFont="1" applyAlignment="1" applyProtection="1">
      <alignment horizontal="center" vertical="center" wrapText="1"/>
    </xf>
    <xf numFmtId="0" fontId="7" fillId="2" borderId="34"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1" fontId="4" fillId="0" borderId="36" xfId="0" applyNumberFormat="1" applyFont="1" applyFill="1" applyBorder="1" applyAlignment="1" applyProtection="1">
      <alignment horizontal="right" vertical="center" wrapText="1"/>
      <protection locked="0"/>
    </xf>
    <xf numFmtId="0" fontId="4" fillId="0" borderId="13" xfId="0" applyFont="1" applyFill="1" applyBorder="1" applyAlignment="1" applyProtection="1">
      <alignment horizontal="right" vertical="center" wrapText="1"/>
      <protection locked="0"/>
    </xf>
    <xf numFmtId="0" fontId="4" fillId="0" borderId="14" xfId="0" applyFont="1" applyFill="1" applyBorder="1" applyAlignment="1" applyProtection="1">
      <alignment horizontal="right" vertical="center" wrapText="1"/>
      <protection locked="0"/>
    </xf>
    <xf numFmtId="0" fontId="4" fillId="0" borderId="36" xfId="0" applyFont="1" applyFill="1" applyBorder="1" applyAlignment="1" applyProtection="1">
      <alignment horizontal="right" vertical="center" wrapText="1"/>
      <protection locked="0"/>
    </xf>
    <xf numFmtId="0" fontId="4" fillId="2" borderId="37" xfId="0" applyFont="1" applyFill="1" applyBorder="1" applyAlignment="1" applyProtection="1">
      <alignment horizontal="right" vertical="center" wrapText="1"/>
      <protection locked="0"/>
    </xf>
    <xf numFmtId="0" fontId="4" fillId="2" borderId="38" xfId="0" applyFont="1" applyFill="1" applyBorder="1" applyAlignment="1" applyProtection="1">
      <alignment horizontal="right" vertical="center" wrapText="1"/>
      <protection locked="0"/>
    </xf>
    <xf numFmtId="0" fontId="4" fillId="2" borderId="30" xfId="0" applyFont="1" applyFill="1" applyBorder="1" applyAlignment="1" applyProtection="1">
      <alignment horizontal="right" vertical="center" wrapText="1"/>
      <protection locked="0"/>
    </xf>
    <xf numFmtId="0" fontId="7" fillId="0" borderId="14" xfId="0" applyFont="1" applyFill="1" applyBorder="1" applyAlignment="1" applyProtection="1">
      <alignment horizontal="right" vertical="center" wrapText="1"/>
      <protection locked="0"/>
    </xf>
    <xf numFmtId="0" fontId="7" fillId="2" borderId="3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right" vertical="center" wrapText="1"/>
      <protection locked="0"/>
    </xf>
    <xf numFmtId="0" fontId="7" fillId="2" borderId="22" xfId="0" applyFont="1" applyFill="1" applyBorder="1" applyAlignment="1" applyProtection="1">
      <alignment horizontal="center" vertical="center"/>
      <protection locked="0"/>
    </xf>
    <xf numFmtId="0" fontId="4" fillId="0" borderId="14" xfId="0" applyFont="1" applyFill="1" applyBorder="1" applyAlignment="1" applyProtection="1">
      <alignment horizontal="right" vertical="center"/>
      <protection locked="0"/>
    </xf>
    <xf numFmtId="0" fontId="7" fillId="0" borderId="15" xfId="0" applyFont="1" applyFill="1" applyBorder="1" applyAlignment="1" applyProtection="1">
      <alignment horizontal="right" vertical="center" wrapText="1"/>
      <protection locked="0"/>
    </xf>
    <xf numFmtId="0" fontId="7" fillId="0" borderId="40" xfId="0" applyFont="1" applyFill="1" applyBorder="1" applyAlignment="1" applyProtection="1">
      <alignment horizontal="right" vertical="center" wrapText="1"/>
      <protection locked="0"/>
    </xf>
    <xf numFmtId="0" fontId="7" fillId="0" borderId="41"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4" fillId="0" borderId="40" xfId="0" applyFont="1" applyFill="1" applyBorder="1" applyAlignment="1" applyProtection="1">
      <alignment horizontal="right" vertical="center" wrapText="1"/>
      <protection locked="0"/>
    </xf>
    <xf numFmtId="0" fontId="4" fillId="0" borderId="44" xfId="0"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right" vertical="center" wrapText="1"/>
      <protection locked="0"/>
    </xf>
    <xf numFmtId="0" fontId="4" fillId="0" borderId="47"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xf>
    <xf numFmtId="0" fontId="25" fillId="0" borderId="0" xfId="0" applyFont="1" applyFill="1" applyBorder="1" applyProtection="1"/>
    <xf numFmtId="0" fontId="4" fillId="0" borderId="0" xfId="0" applyFont="1" applyFill="1" applyBorder="1" applyAlignment="1" applyProtection="1">
      <alignment horizontal="center"/>
    </xf>
    <xf numFmtId="9" fontId="4" fillId="0" borderId="0" xfId="0" applyNumberFormat="1" applyFont="1" applyFill="1" applyBorder="1" applyAlignment="1" applyProtection="1">
      <alignment horizontal="center"/>
    </xf>
    <xf numFmtId="9" fontId="4" fillId="0" borderId="0" xfId="5" applyFont="1" applyFill="1" applyBorder="1" applyAlignment="1" applyProtection="1">
      <alignment horizontal="center"/>
    </xf>
    <xf numFmtId="1" fontId="4" fillId="0" borderId="0" xfId="0" applyNumberFormat="1" applyFont="1" applyFill="1" applyBorder="1" applyAlignment="1" applyProtection="1">
      <alignment horizontal="center"/>
    </xf>
    <xf numFmtId="0" fontId="25" fillId="0" borderId="0" xfId="0" applyFont="1" applyFill="1" applyBorder="1" applyAlignment="1" applyProtection="1">
      <alignment horizontal="center" wrapText="1"/>
    </xf>
    <xf numFmtId="49" fontId="18" fillId="2" borderId="9" xfId="0" applyNumberFormat="1" applyFont="1" applyFill="1" applyBorder="1" applyAlignment="1" applyProtection="1">
      <alignment horizontal="center"/>
    </xf>
    <xf numFmtId="49" fontId="18" fillId="2" borderId="9" xfId="0" applyNumberFormat="1" applyFont="1" applyFill="1" applyBorder="1" applyAlignment="1" applyProtection="1">
      <alignment horizontal="center" wrapText="1"/>
    </xf>
    <xf numFmtId="0" fontId="31" fillId="2" borderId="48" xfId="0" applyFont="1" applyFill="1" applyBorder="1" applyProtection="1"/>
    <xf numFmtId="0" fontId="32" fillId="2" borderId="9" xfId="0" applyFont="1" applyFill="1" applyBorder="1" applyAlignment="1" applyProtection="1">
      <alignment horizontal="center" wrapText="1"/>
    </xf>
    <xf numFmtId="0" fontId="32" fillId="2" borderId="4" xfId="0" applyFont="1" applyFill="1" applyBorder="1" applyAlignment="1" applyProtection="1">
      <alignment horizontal="center" wrapText="1"/>
    </xf>
    <xf numFmtId="0" fontId="32" fillId="2" borderId="49" xfId="0" applyFont="1" applyFill="1" applyBorder="1" applyAlignment="1" applyProtection="1">
      <alignment horizontal="center" wrapText="1"/>
    </xf>
    <xf numFmtId="0" fontId="23" fillId="0" borderId="0" xfId="0" applyFont="1" applyFill="1" applyBorder="1" applyProtection="1"/>
    <xf numFmtId="0" fontId="8" fillId="0" borderId="33" xfId="0" applyFont="1" applyFill="1" applyBorder="1" applyProtection="1"/>
    <xf numFmtId="0" fontId="5" fillId="0" borderId="40" xfId="0" applyFont="1" applyFill="1" applyBorder="1" applyAlignment="1" applyProtection="1">
      <alignment wrapText="1"/>
    </xf>
    <xf numFmtId="0" fontId="5" fillId="4" borderId="50" xfId="0" applyFont="1" applyFill="1" applyBorder="1" applyAlignment="1" applyProtection="1">
      <alignment wrapText="1"/>
    </xf>
    <xf numFmtId="0" fontId="5" fillId="0" borderId="51" xfId="0" applyFont="1" applyFill="1" applyBorder="1" applyAlignment="1" applyProtection="1">
      <alignment wrapText="1"/>
    </xf>
    <xf numFmtId="0" fontId="8" fillId="0" borderId="25" xfId="0" applyFont="1" applyFill="1" applyBorder="1" applyProtection="1"/>
    <xf numFmtId="0" fontId="5" fillId="0" borderId="36" xfId="0" applyFont="1" applyFill="1" applyBorder="1" applyAlignment="1" applyProtection="1">
      <alignment wrapText="1"/>
    </xf>
    <xf numFmtId="0" fontId="5" fillId="4" borderId="52" xfId="0" applyFont="1" applyFill="1" applyBorder="1" applyAlignment="1" applyProtection="1">
      <alignment wrapText="1"/>
    </xf>
    <xf numFmtId="0" fontId="5" fillId="0" borderId="53" xfId="0" applyFont="1" applyFill="1" applyBorder="1" applyAlignment="1" applyProtection="1">
      <alignment wrapText="1"/>
    </xf>
    <xf numFmtId="0" fontId="5" fillId="0" borderId="52" xfId="0" applyFont="1" applyFill="1" applyBorder="1" applyAlignment="1" applyProtection="1">
      <alignment wrapText="1"/>
    </xf>
    <xf numFmtId="0" fontId="5" fillId="4" borderId="36" xfId="0" applyFont="1" applyFill="1" applyBorder="1" applyAlignment="1" applyProtection="1">
      <alignment wrapText="1"/>
    </xf>
    <xf numFmtId="0" fontId="23" fillId="0" borderId="0" xfId="0" applyFont="1" applyFill="1" applyBorder="1" applyAlignment="1" applyProtection="1">
      <alignment horizontal="center"/>
    </xf>
    <xf numFmtId="0" fontId="8" fillId="0" borderId="25" xfId="0" applyFont="1" applyFill="1" applyBorder="1" applyAlignment="1" applyProtection="1">
      <alignment wrapText="1"/>
    </xf>
    <xf numFmtId="0" fontId="8" fillId="0" borderId="28" xfId="0" applyFont="1" applyFill="1" applyBorder="1" applyProtection="1"/>
    <xf numFmtId="0" fontId="5" fillId="4" borderId="16" xfId="0" applyFont="1" applyFill="1" applyBorder="1" applyAlignment="1" applyProtection="1">
      <alignment wrapText="1"/>
    </xf>
    <xf numFmtId="0" fontId="5" fillId="0" borderId="54" xfId="0" applyFont="1" applyFill="1" applyBorder="1" applyAlignment="1" applyProtection="1">
      <alignment wrapText="1"/>
    </xf>
    <xf numFmtId="0" fontId="25" fillId="0" borderId="8" xfId="0" applyFont="1" applyFill="1" applyBorder="1" applyAlignment="1" applyProtection="1">
      <alignment horizontal="center" wrapText="1"/>
      <protection locked="0"/>
    </xf>
    <xf numFmtId="0" fontId="5" fillId="0" borderId="16" xfId="0" applyFont="1" applyFill="1" applyBorder="1" applyAlignment="1" applyProtection="1">
      <alignment wrapText="1"/>
      <protection locked="0"/>
    </xf>
    <xf numFmtId="0" fontId="5" fillId="0" borderId="55" xfId="0" applyFont="1" applyFill="1" applyBorder="1" applyAlignment="1" applyProtection="1">
      <alignment wrapText="1"/>
      <protection locked="0"/>
    </xf>
    <xf numFmtId="0" fontId="4" fillId="2" borderId="30" xfId="0" applyFont="1" applyFill="1" applyBorder="1" applyAlignment="1" applyProtection="1">
      <alignment horizontal="right" vertical="center"/>
      <protection locked="0"/>
    </xf>
    <xf numFmtId="0" fontId="4" fillId="2" borderId="47" xfId="0" applyFont="1" applyFill="1" applyBorder="1" applyAlignment="1" applyProtection="1">
      <alignment horizontal="right" vertical="center" wrapText="1"/>
      <protection locked="0"/>
    </xf>
    <xf numFmtId="1" fontId="9" fillId="5" borderId="9" xfId="0" applyNumberFormat="1" applyFont="1" applyFill="1" applyBorder="1" applyAlignment="1" applyProtection="1">
      <alignment horizontal="right" vertical="center" wrapText="1"/>
      <protection locked="0"/>
    </xf>
    <xf numFmtId="9" fontId="0" fillId="0" borderId="10" xfId="5" applyFont="1" applyBorder="1" applyAlignment="1" applyProtection="1">
      <protection locked="0"/>
    </xf>
    <xf numFmtId="9" fontId="0" fillId="0" borderId="56" xfId="5" applyFont="1" applyBorder="1" applyAlignment="1" applyProtection="1">
      <protection locked="0"/>
    </xf>
    <xf numFmtId="9" fontId="0" fillId="0" borderId="0" xfId="5" applyFont="1" applyBorder="1" applyProtection="1">
      <protection locked="0"/>
    </xf>
    <xf numFmtId="0" fontId="16" fillId="0" borderId="0" xfId="0" applyFont="1" applyProtection="1"/>
    <xf numFmtId="0" fontId="15" fillId="2" borderId="0" xfId="0" applyFont="1" applyFill="1" applyBorder="1" applyProtection="1"/>
    <xf numFmtId="0" fontId="34" fillId="2" borderId="0" xfId="0" applyFont="1" applyFill="1" applyBorder="1" applyProtection="1"/>
    <xf numFmtId="0" fontId="34" fillId="0" borderId="0" xfId="0" applyFont="1" applyProtection="1"/>
    <xf numFmtId="3" fontId="12" fillId="2" borderId="9" xfId="0" applyNumberFormat="1" applyFont="1" applyFill="1" applyBorder="1" applyAlignment="1" applyProtection="1">
      <alignment horizontal="center" vertical="center" wrapText="1"/>
    </xf>
    <xf numFmtId="3" fontId="12" fillId="2" borderId="49" xfId="0" applyNumberFormat="1" applyFont="1" applyFill="1" applyBorder="1" applyAlignment="1" applyProtection="1">
      <alignment horizontal="center" vertical="center" wrapText="1"/>
    </xf>
    <xf numFmtId="3" fontId="12" fillId="2" borderId="2" xfId="0" applyNumberFormat="1" applyFont="1" applyFill="1" applyBorder="1" applyAlignment="1" applyProtection="1">
      <alignment horizontal="left"/>
    </xf>
    <xf numFmtId="3" fontId="12" fillId="2" borderId="10" xfId="0" applyNumberFormat="1" applyFont="1" applyFill="1" applyBorder="1" applyAlignment="1" applyProtection="1">
      <alignment horizontal="center"/>
    </xf>
    <xf numFmtId="3" fontId="12" fillId="2" borderId="2" xfId="0" applyNumberFormat="1" applyFont="1" applyFill="1" applyBorder="1" applyAlignment="1" applyProtection="1">
      <alignment horizontal="center"/>
    </xf>
    <xf numFmtId="9" fontId="12" fillId="2" borderId="2" xfId="0" applyNumberFormat="1" applyFont="1" applyFill="1" applyBorder="1" applyAlignment="1" applyProtection="1">
      <alignment horizontal="center"/>
    </xf>
    <xf numFmtId="9" fontId="12" fillId="2" borderId="2" xfId="5" applyFont="1" applyFill="1" applyBorder="1" applyAlignment="1" applyProtection="1">
      <alignment horizontal="center"/>
    </xf>
    <xf numFmtId="3" fontId="12" fillId="2" borderId="3" xfId="0" applyNumberFormat="1" applyFont="1" applyFill="1" applyBorder="1" applyAlignment="1" applyProtection="1">
      <alignment horizontal="left"/>
    </xf>
    <xf numFmtId="9" fontId="12" fillId="2" borderId="3" xfId="5" applyFont="1" applyFill="1" applyBorder="1" applyAlignment="1" applyProtection="1">
      <alignment horizontal="center"/>
    </xf>
    <xf numFmtId="0" fontId="16" fillId="5" borderId="0" xfId="0" applyFont="1" applyFill="1" applyProtection="1"/>
    <xf numFmtId="3" fontId="14" fillId="0" borderId="0" xfId="0" applyNumberFormat="1"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Protection="1"/>
    <xf numFmtId="0" fontId="15" fillId="2" borderId="2" xfId="0" applyFont="1" applyFill="1" applyBorder="1" applyProtection="1"/>
    <xf numFmtId="0" fontId="15" fillId="2" borderId="3" xfId="0" applyFont="1" applyFill="1" applyBorder="1" applyProtection="1"/>
    <xf numFmtId="0" fontId="16" fillId="2" borderId="0" xfId="0" applyFont="1" applyFill="1" applyProtection="1"/>
    <xf numFmtId="0" fontId="15" fillId="2" borderId="0" xfId="0" applyFont="1" applyFill="1" applyProtection="1"/>
    <xf numFmtId="0" fontId="15" fillId="2" borderId="9" xfId="0" applyFont="1" applyFill="1" applyBorder="1" applyAlignment="1" applyProtection="1">
      <alignment horizontal="center" vertical="center"/>
    </xf>
    <xf numFmtId="3" fontId="12" fillId="2" borderId="11" xfId="0" applyNumberFormat="1" applyFont="1" applyFill="1" applyBorder="1" applyAlignment="1" applyProtection="1">
      <alignment horizontal="left"/>
    </xf>
    <xf numFmtId="0" fontId="16" fillId="0" borderId="0" xfId="0" applyFont="1" applyFill="1" applyBorder="1" applyProtection="1"/>
    <xf numFmtId="3" fontId="12" fillId="2" borderId="57" xfId="0" applyNumberFormat="1" applyFont="1" applyFill="1" applyBorder="1" applyAlignment="1" applyProtection="1">
      <alignment horizontal="left"/>
    </xf>
    <xf numFmtId="3" fontId="12" fillId="2" borderId="3" xfId="0" applyNumberFormat="1" applyFont="1" applyFill="1" applyBorder="1" applyAlignment="1" applyProtection="1">
      <alignment horizontal="center"/>
    </xf>
    <xf numFmtId="3" fontId="12" fillId="2" borderId="9" xfId="0" applyNumberFormat="1" applyFont="1" applyFill="1" applyBorder="1" applyAlignment="1" applyProtection="1">
      <alignment horizontal="center"/>
    </xf>
    <xf numFmtId="3" fontId="12" fillId="2" borderId="49" xfId="0" applyNumberFormat="1" applyFont="1" applyFill="1" applyBorder="1" applyAlignment="1" applyProtection="1">
      <alignment horizontal="center"/>
    </xf>
    <xf numFmtId="3" fontId="12" fillId="2" borderId="58" xfId="0" applyNumberFormat="1" applyFont="1" applyFill="1" applyBorder="1" applyAlignment="1" applyProtection="1">
      <alignment horizontal="center"/>
    </xf>
    <xf numFmtId="3" fontId="12" fillId="2" borderId="8" xfId="0" applyNumberFormat="1" applyFont="1" applyFill="1" applyBorder="1" applyAlignment="1" applyProtection="1">
      <alignment horizontal="center"/>
    </xf>
    <xf numFmtId="0" fontId="13" fillId="0" borderId="0" xfId="0" applyFont="1" applyProtection="1"/>
    <xf numFmtId="0" fontId="16" fillId="0" borderId="0" xfId="0" applyFont="1" applyFill="1" applyProtection="1"/>
    <xf numFmtId="0" fontId="12" fillId="0" borderId="0" xfId="0" applyFont="1" applyFill="1" applyBorder="1" applyAlignment="1" applyProtection="1">
      <alignment horizontal="center"/>
    </xf>
    <xf numFmtId="3" fontId="12" fillId="0" borderId="0" xfId="0" applyNumberFormat="1" applyFont="1" applyFill="1" applyBorder="1" applyAlignment="1" applyProtection="1">
      <alignment horizontal="left"/>
    </xf>
    <xf numFmtId="0" fontId="22" fillId="0" borderId="0" xfId="0" applyFont="1" applyFill="1" applyBorder="1" applyAlignment="1" applyProtection="1">
      <alignment horizontal="left"/>
    </xf>
    <xf numFmtId="3" fontId="12" fillId="2" borderId="59" xfId="0" applyNumberFormat="1" applyFont="1" applyFill="1" applyBorder="1" applyAlignment="1" applyProtection="1">
      <alignment horizontal="center"/>
    </xf>
    <xf numFmtId="0" fontId="12" fillId="2" borderId="2" xfId="0" applyFont="1" applyFill="1" applyBorder="1" applyAlignment="1" applyProtection="1">
      <alignment horizontal="left"/>
    </xf>
    <xf numFmtId="1" fontId="12" fillId="2" borderId="2" xfId="0" applyNumberFormat="1" applyFont="1" applyFill="1" applyBorder="1" applyAlignment="1" applyProtection="1">
      <alignment horizontal="left"/>
    </xf>
    <xf numFmtId="1" fontId="12" fillId="2" borderId="3" xfId="0" applyNumberFormat="1" applyFont="1" applyFill="1" applyBorder="1" applyAlignment="1" applyProtection="1">
      <alignment horizontal="left"/>
    </xf>
    <xf numFmtId="0" fontId="15" fillId="2" borderId="12" xfId="0" applyFont="1" applyFill="1" applyBorder="1" applyProtection="1"/>
    <xf numFmtId="9" fontId="12" fillId="2" borderId="10" xfId="5" applyNumberFormat="1" applyFont="1" applyFill="1" applyBorder="1" applyAlignment="1" applyProtection="1">
      <alignment horizontal="center"/>
    </xf>
    <xf numFmtId="9" fontId="12" fillId="2" borderId="59" xfId="5" applyNumberFormat="1" applyFont="1" applyFill="1" applyBorder="1" applyAlignment="1" applyProtection="1">
      <alignment horizontal="center"/>
    </xf>
    <xf numFmtId="1" fontId="12" fillId="2" borderId="11" xfId="0" applyNumberFormat="1" applyFont="1" applyFill="1" applyBorder="1" applyAlignment="1" applyProtection="1">
      <alignment horizontal="left"/>
    </xf>
    <xf numFmtId="9" fontId="12" fillId="2" borderId="3" xfId="5" applyNumberFormat="1" applyFont="1" applyFill="1" applyBorder="1" applyAlignment="1" applyProtection="1">
      <alignment horizontal="center"/>
    </xf>
    <xf numFmtId="9" fontId="12" fillId="2" borderId="8" xfId="5" applyNumberFormat="1" applyFont="1" applyFill="1" applyBorder="1" applyAlignment="1" applyProtection="1">
      <alignment horizontal="center"/>
    </xf>
    <xf numFmtId="1" fontId="12" fillId="2" borderId="48" xfId="0" applyNumberFormat="1" applyFont="1" applyFill="1" applyBorder="1" applyAlignment="1" applyProtection="1">
      <alignment horizontal="left"/>
    </xf>
    <xf numFmtId="1" fontId="12" fillId="2" borderId="9" xfId="0" applyNumberFormat="1" applyFont="1" applyFill="1" applyBorder="1" applyAlignment="1" applyProtection="1">
      <alignment horizontal="center" wrapText="1"/>
    </xf>
    <xf numFmtId="1" fontId="12" fillId="2" borderId="8" xfId="0" applyNumberFormat="1" applyFont="1" applyFill="1" applyBorder="1" applyAlignment="1" applyProtection="1">
      <alignment horizontal="center" wrapText="1"/>
    </xf>
    <xf numFmtId="3" fontId="15" fillId="2" borderId="58" xfId="0" applyNumberFormat="1" applyFont="1" applyFill="1" applyBorder="1" applyAlignment="1" applyProtection="1">
      <alignment horizontal="center"/>
    </xf>
    <xf numFmtId="3" fontId="12" fillId="2" borderId="9" xfId="0" applyNumberFormat="1" applyFont="1" applyFill="1" applyBorder="1" applyAlignment="1" applyProtection="1">
      <alignment horizontal="left"/>
    </xf>
    <xf numFmtId="9" fontId="12" fillId="2" borderId="49" xfId="5" applyNumberFormat="1" applyFont="1" applyFill="1" applyBorder="1" applyAlignment="1" applyProtection="1">
      <alignment horizontal="center"/>
    </xf>
    <xf numFmtId="0" fontId="7" fillId="0" borderId="10" xfId="0" applyFont="1" applyFill="1" applyBorder="1" applyAlignment="1" applyProtection="1">
      <alignment horizontal="centerContinuous" vertical="center" wrapText="1"/>
    </xf>
    <xf numFmtId="0" fontId="7" fillId="0" borderId="3" xfId="0" applyFont="1" applyFill="1" applyBorder="1" applyAlignment="1" applyProtection="1">
      <alignment horizontal="centerContinuous" vertical="center" wrapText="1"/>
    </xf>
    <xf numFmtId="0" fontId="7" fillId="0" borderId="12" xfId="0" applyFont="1" applyFill="1" applyBorder="1" applyAlignment="1" applyProtection="1">
      <alignment horizontal="centerContinuous" vertical="center" wrapText="1"/>
    </xf>
    <xf numFmtId="0" fontId="7" fillId="0" borderId="57" xfId="0" applyFont="1" applyFill="1" applyBorder="1" applyAlignment="1" applyProtection="1">
      <alignment horizontal="centerContinuous" vertical="center" wrapText="1"/>
    </xf>
    <xf numFmtId="0" fontId="5" fillId="0" borderId="0" xfId="0" applyFont="1" applyBorder="1" applyAlignment="1" applyProtection="1">
      <alignment horizontal="left"/>
    </xf>
    <xf numFmtId="0" fontId="7" fillId="0" borderId="0" xfId="0" applyFont="1" applyBorder="1" applyAlignment="1" applyProtection="1">
      <alignment horizontal="left"/>
    </xf>
    <xf numFmtId="0" fontId="27" fillId="0" borderId="12" xfId="0" applyFont="1" applyBorder="1" applyAlignment="1" applyProtection="1">
      <alignment horizontal="centerContinuous" vertical="center" wrapText="1"/>
    </xf>
    <xf numFmtId="0" fontId="27" fillId="0" borderId="57" xfId="0" applyFont="1" applyBorder="1" applyAlignment="1" applyProtection="1">
      <alignment horizontal="centerContinuous" vertical="center" wrapText="1"/>
    </xf>
    <xf numFmtId="0" fontId="7" fillId="0" borderId="12" xfId="0" applyFont="1" applyBorder="1" applyAlignment="1" applyProtection="1">
      <alignment horizontal="centerContinuous" vertical="center" wrapText="1"/>
    </xf>
    <xf numFmtId="0" fontId="7" fillId="0" borderId="57" xfId="0" applyFont="1" applyBorder="1" applyAlignment="1" applyProtection="1">
      <alignment horizontal="centerContinuous" vertical="center" wrapText="1"/>
    </xf>
    <xf numFmtId="0" fontId="7" fillId="0" borderId="2" xfId="0" applyFont="1" applyFill="1" applyBorder="1" applyAlignment="1" applyProtection="1">
      <alignment horizontal="centerContinuous" vertical="center" wrapText="1"/>
    </xf>
    <xf numFmtId="0" fontId="7" fillId="0" borderId="11" xfId="0" applyFont="1" applyFill="1" applyBorder="1" applyAlignment="1" applyProtection="1">
      <alignment horizontal="centerContinuous" vertical="center" wrapText="1"/>
    </xf>
    <xf numFmtId="0" fontId="7" fillId="0" borderId="10" xfId="0" applyFont="1" applyBorder="1" applyAlignment="1" applyProtection="1">
      <alignment horizontal="centerContinuous" vertical="center" wrapText="1"/>
    </xf>
    <xf numFmtId="0" fontId="7" fillId="0" borderId="2" xfId="0" applyFont="1" applyBorder="1" applyAlignment="1" applyProtection="1">
      <alignment horizontal="centerContinuous" vertical="center" wrapText="1"/>
    </xf>
    <xf numFmtId="0" fontId="7" fillId="0" borderId="3" xfId="0" applyFont="1" applyBorder="1" applyAlignment="1" applyProtection="1">
      <alignment horizontal="centerContinuous" vertical="center" wrapText="1"/>
    </xf>
    <xf numFmtId="0" fontId="3"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0" fontId="7" fillId="2" borderId="10" xfId="0" applyFont="1" applyFill="1" applyBorder="1" applyAlignment="1" applyProtection="1">
      <alignment horizontal="centerContinuous" vertical="center" wrapText="1"/>
    </xf>
    <xf numFmtId="0" fontId="7" fillId="2" borderId="3" xfId="0" applyFont="1" applyFill="1" applyBorder="1" applyAlignment="1" applyProtection="1">
      <alignment horizontal="centerContinuous" vertical="center" wrapText="1"/>
    </xf>
    <xf numFmtId="0" fontId="7" fillId="0" borderId="48" xfId="0" applyFont="1" applyFill="1" applyBorder="1" applyAlignment="1" applyProtection="1">
      <alignment horizontal="left"/>
    </xf>
    <xf numFmtId="0" fontId="7" fillId="0" borderId="49" xfId="0" applyFont="1" applyFill="1" applyBorder="1" applyAlignment="1" applyProtection="1">
      <alignment horizontal="left"/>
    </xf>
    <xf numFmtId="3" fontId="12" fillId="2" borderId="10" xfId="0" applyNumberFormat="1" applyFont="1" applyFill="1" applyBorder="1" applyAlignment="1" applyProtection="1">
      <alignment horizontal="centerContinuous" vertical="center" wrapText="1"/>
    </xf>
    <xf numFmtId="3" fontId="12" fillId="2" borderId="3" xfId="0" applyNumberFormat="1" applyFont="1" applyFill="1" applyBorder="1" applyAlignment="1" applyProtection="1">
      <alignment horizontal="centerContinuous" vertical="center" wrapText="1"/>
    </xf>
    <xf numFmtId="0" fontId="15" fillId="0" borderId="12" xfId="0" applyFont="1" applyFill="1" applyBorder="1" applyAlignment="1" applyProtection="1">
      <alignment horizontal="centerContinuous"/>
    </xf>
    <xf numFmtId="0" fontId="15" fillId="0" borderId="59" xfId="0" applyFont="1" applyFill="1" applyBorder="1" applyAlignment="1" applyProtection="1">
      <alignment horizontal="centerContinuous"/>
    </xf>
    <xf numFmtId="0" fontId="15" fillId="0" borderId="60" xfId="0" applyFont="1" applyFill="1" applyBorder="1" applyAlignment="1" applyProtection="1">
      <alignment horizontal="centerContinuous"/>
    </xf>
    <xf numFmtId="0" fontId="15" fillId="0" borderId="0" xfId="0" applyFont="1" applyFill="1" applyBorder="1" applyAlignment="1" applyProtection="1">
      <alignment horizontal="centerContinuous"/>
    </xf>
    <xf numFmtId="0" fontId="13" fillId="5" borderId="50" xfId="0" applyFont="1" applyFill="1" applyBorder="1" applyAlignment="1" applyProtection="1">
      <alignment horizontal="left"/>
    </xf>
    <xf numFmtId="3" fontId="13" fillId="0" borderId="26" xfId="0" applyNumberFormat="1" applyFont="1" applyFill="1" applyBorder="1" applyAlignment="1" applyProtection="1">
      <alignment wrapText="1"/>
    </xf>
    <xf numFmtId="0" fontId="13" fillId="0" borderId="13" xfId="0" applyFont="1" applyBorder="1" applyAlignment="1" applyProtection="1">
      <alignment wrapText="1"/>
    </xf>
    <xf numFmtId="0" fontId="7" fillId="0" borderId="50"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7" fillId="2" borderId="50" xfId="0" applyFont="1" applyFill="1" applyBorder="1" applyAlignment="1" applyProtection="1">
      <alignment horizontal="left" vertical="center"/>
      <protection locked="0"/>
    </xf>
    <xf numFmtId="0" fontId="18" fillId="2" borderId="61" xfId="0" applyFont="1" applyFill="1" applyBorder="1" applyAlignment="1" applyProtection="1">
      <alignment horizontal="centerContinuous" vertical="center" wrapText="1"/>
    </xf>
    <xf numFmtId="0" fontId="18" fillId="2" borderId="45" xfId="0" applyFont="1" applyFill="1" applyBorder="1" applyAlignment="1" applyProtection="1">
      <alignment horizontal="centerContinuous" vertical="center" wrapText="1"/>
    </xf>
    <xf numFmtId="0" fontId="7" fillId="2" borderId="48" xfId="0" applyFont="1" applyFill="1" applyBorder="1" applyAlignment="1" applyProtection="1">
      <alignment horizontal="centerContinuous" vertical="center" wrapText="1"/>
      <protection locked="0"/>
    </xf>
    <xf numFmtId="0" fontId="7" fillId="2" borderId="4" xfId="0" applyFont="1" applyFill="1" applyBorder="1" applyAlignment="1" applyProtection="1">
      <alignment horizontal="centerContinuous" vertical="center" wrapText="1"/>
      <protection locked="0"/>
    </xf>
    <xf numFmtId="0" fontId="7" fillId="2" borderId="62" xfId="0" applyFont="1" applyFill="1" applyBorder="1" applyAlignment="1" applyProtection="1">
      <alignment horizontal="centerContinuous" vertical="center" wrapText="1"/>
      <protection locked="0"/>
    </xf>
    <xf numFmtId="0" fontId="7" fillId="2" borderId="49" xfId="0" applyFont="1" applyFill="1" applyBorder="1" applyAlignment="1" applyProtection="1">
      <alignment horizontal="centerContinuous" vertical="center" wrapText="1"/>
      <protection locked="0"/>
    </xf>
    <xf numFmtId="0" fontId="7" fillId="2" borderId="48" xfId="0" applyFont="1" applyFill="1" applyBorder="1" applyAlignment="1" applyProtection="1">
      <alignment horizontal="centerContinuous" vertical="center" wrapText="1"/>
    </xf>
    <xf numFmtId="0" fontId="7" fillId="2" borderId="4" xfId="0" applyFont="1" applyFill="1" applyBorder="1" applyAlignment="1" applyProtection="1">
      <alignment horizontal="centerContinuous" vertical="center" wrapText="1"/>
    </xf>
    <xf numFmtId="0" fontId="7" fillId="2" borderId="49" xfId="0" applyFont="1" applyFill="1" applyBorder="1" applyAlignment="1" applyProtection="1">
      <alignment horizontal="centerContinuous" vertical="center" wrapText="1"/>
    </xf>
    <xf numFmtId="0" fontId="18" fillId="2" borderId="14" xfId="0" applyFont="1" applyFill="1" applyBorder="1" applyAlignment="1" applyProtection="1">
      <alignment horizontal="centerContinuous" vertical="center" wrapText="1"/>
    </xf>
    <xf numFmtId="0" fontId="18" fillId="2" borderId="46" xfId="0" applyFont="1" applyFill="1" applyBorder="1" applyAlignment="1" applyProtection="1">
      <alignment horizontal="centerContinuous" vertical="center" wrapText="1"/>
    </xf>
    <xf numFmtId="0" fontId="18" fillId="2" borderId="27" xfId="0" applyFont="1" applyFill="1" applyBorder="1" applyAlignment="1" applyProtection="1">
      <alignment horizontal="centerContinuous" vertical="center" wrapText="1"/>
    </xf>
    <xf numFmtId="0" fontId="18" fillId="2" borderId="63" xfId="0" applyFont="1" applyFill="1" applyBorder="1" applyAlignment="1" applyProtection="1">
      <alignment horizontal="centerContinuous" vertical="center" wrapText="1"/>
    </xf>
    <xf numFmtId="0" fontId="18" fillId="2" borderId="26" xfId="0" applyFont="1" applyFill="1" applyBorder="1" applyAlignment="1" applyProtection="1">
      <alignment horizontal="centerContinuous" vertical="center" wrapText="1"/>
    </xf>
    <xf numFmtId="0" fontId="18" fillId="2" borderId="12" xfId="0" applyFont="1" applyFill="1" applyBorder="1" applyAlignment="1" applyProtection="1">
      <alignment horizontal="centerContinuous" vertical="center" wrapText="1"/>
    </xf>
    <xf numFmtId="0" fontId="0" fillId="2" borderId="57" xfId="0" applyFill="1" applyBorder="1" applyAlignment="1" applyProtection="1">
      <alignment horizontal="centerContinuous" vertical="center" wrapText="1"/>
    </xf>
    <xf numFmtId="0" fontId="7" fillId="2" borderId="38" xfId="0" applyFont="1" applyFill="1" applyBorder="1" applyAlignment="1" applyProtection="1">
      <alignment horizontal="centerContinuous" vertical="center" wrapText="1"/>
    </xf>
    <xf numFmtId="0" fontId="7" fillId="2" borderId="30" xfId="0" applyFont="1" applyFill="1" applyBorder="1" applyAlignment="1" applyProtection="1">
      <alignment horizontal="centerContinuous" vertical="center" wrapText="1"/>
    </xf>
    <xf numFmtId="0" fontId="7" fillId="2" borderId="32" xfId="0" applyFont="1" applyFill="1" applyBorder="1" applyAlignment="1" applyProtection="1">
      <alignment horizontal="centerContinuous" vertical="center" wrapText="1"/>
    </xf>
    <xf numFmtId="0" fontId="0" fillId="2" borderId="21" xfId="0" applyFill="1" applyBorder="1" applyAlignment="1" applyProtection="1">
      <alignment horizontal="centerContinuous" vertical="center" wrapText="1"/>
    </xf>
    <xf numFmtId="0" fontId="17" fillId="2" borderId="11" xfId="0" applyFont="1" applyFill="1" applyBorder="1" applyAlignment="1" applyProtection="1">
      <alignment horizontal="centerContinuous" vertical="center" wrapText="1"/>
    </xf>
    <xf numFmtId="0" fontId="17" fillId="2" borderId="11" xfId="0" applyFont="1" applyFill="1" applyBorder="1" applyAlignment="1" applyProtection="1">
      <alignment vertical="center"/>
    </xf>
    <xf numFmtId="0" fontId="18" fillId="0" borderId="36" xfId="0" applyFont="1" applyFill="1" applyBorder="1" applyAlignment="1" applyProtection="1">
      <alignment horizontal="centerContinuous" vertical="center" wrapText="1"/>
    </xf>
    <xf numFmtId="0" fontId="18" fillId="2" borderId="44" xfId="0" applyFont="1" applyFill="1" applyBorder="1" applyAlignment="1" applyProtection="1">
      <alignment horizontal="centerContinuous" vertical="center" wrapText="1"/>
    </xf>
    <xf numFmtId="0" fontId="24" fillId="2" borderId="48" xfId="0" applyFont="1" applyFill="1" applyBorder="1" applyAlignment="1" applyProtection="1">
      <alignment horizontal="centerContinuous" vertical="center" wrapText="1"/>
    </xf>
    <xf numFmtId="0" fontId="24" fillId="2" borderId="4" xfId="0" applyFont="1" applyFill="1" applyBorder="1" applyAlignment="1" applyProtection="1">
      <alignment horizontal="centerContinuous" vertical="center" wrapText="1"/>
    </xf>
    <xf numFmtId="0" fontId="24" fillId="2" borderId="49" xfId="0" applyFont="1" applyFill="1" applyBorder="1" applyAlignment="1" applyProtection="1">
      <alignment horizontal="centerContinuous" vertical="center" wrapText="1"/>
    </xf>
    <xf numFmtId="0" fontId="18" fillId="2" borderId="10" xfId="0" applyFont="1" applyFill="1" applyBorder="1" applyAlignment="1" applyProtection="1">
      <alignment horizontal="centerContinuous" vertical="center"/>
    </xf>
    <xf numFmtId="0" fontId="18" fillId="2" borderId="2" xfId="0" applyFont="1" applyFill="1" applyBorder="1" applyAlignment="1" applyProtection="1">
      <alignment horizontal="centerContinuous" vertical="center"/>
    </xf>
    <xf numFmtId="0" fontId="18" fillId="2" borderId="3" xfId="0" applyFont="1" applyFill="1" applyBorder="1" applyAlignment="1" applyProtection="1">
      <alignment horizontal="centerContinuous" vertical="center"/>
    </xf>
    <xf numFmtId="0" fontId="18" fillId="2" borderId="59" xfId="0" applyFont="1" applyFill="1" applyBorder="1" applyAlignment="1" applyProtection="1">
      <alignment horizontal="centerContinuous" wrapText="1"/>
    </xf>
    <xf numFmtId="0" fontId="18" fillId="2" borderId="58" xfId="0" applyFont="1" applyFill="1" applyBorder="1" applyAlignment="1" applyProtection="1">
      <alignment horizontal="centerContinuous" wrapText="1"/>
    </xf>
    <xf numFmtId="0" fontId="18" fillId="2" borderId="8" xfId="0" applyFont="1" applyFill="1" applyBorder="1" applyAlignment="1" applyProtection="1">
      <alignment horizontal="centerContinuous" wrapText="1"/>
    </xf>
    <xf numFmtId="0" fontId="18" fillId="2" borderId="10" xfId="0" applyFont="1" applyFill="1" applyBorder="1" applyAlignment="1" applyProtection="1">
      <alignment horizontal="centerContinuous" vertical="center" wrapText="1"/>
    </xf>
    <xf numFmtId="0" fontId="18" fillId="2" borderId="2" xfId="0" applyFont="1" applyFill="1" applyBorder="1" applyAlignment="1" applyProtection="1">
      <alignment horizontal="centerContinuous" vertical="center" wrapText="1"/>
    </xf>
    <xf numFmtId="0" fontId="18" fillId="2" borderId="3" xfId="0" applyFont="1" applyFill="1" applyBorder="1" applyAlignment="1" applyProtection="1">
      <alignment horizontal="centerContinuous" vertical="center" wrapText="1"/>
    </xf>
    <xf numFmtId="49" fontId="18" fillId="2" borderId="10" xfId="0" applyNumberFormat="1" applyFont="1" applyFill="1" applyBorder="1" applyAlignment="1" applyProtection="1">
      <alignment horizontal="centerContinuous" wrapText="1"/>
    </xf>
    <xf numFmtId="49" fontId="18" fillId="2" borderId="2" xfId="0" applyNumberFormat="1" applyFont="1" applyFill="1" applyBorder="1" applyAlignment="1" applyProtection="1">
      <alignment horizontal="centerContinuous" wrapText="1"/>
    </xf>
    <xf numFmtId="49" fontId="18" fillId="2" borderId="3" xfId="0" applyNumberFormat="1" applyFont="1" applyFill="1" applyBorder="1" applyAlignment="1" applyProtection="1">
      <alignment horizontal="centerContinuous" wrapText="1"/>
    </xf>
    <xf numFmtId="49" fontId="18" fillId="2" borderId="59" xfId="0" applyNumberFormat="1" applyFont="1" applyFill="1" applyBorder="1" applyAlignment="1" applyProtection="1">
      <alignment horizontal="centerContinuous" vertical="center" wrapText="1"/>
    </xf>
    <xf numFmtId="49" fontId="18" fillId="2" borderId="58" xfId="0" applyNumberFormat="1" applyFont="1" applyFill="1" applyBorder="1" applyAlignment="1" applyProtection="1">
      <alignment horizontal="centerContinuous" vertical="center" wrapText="1"/>
    </xf>
    <xf numFmtId="49" fontId="18" fillId="2" borderId="48" xfId="0" applyNumberFormat="1" applyFont="1" applyFill="1" applyBorder="1" applyAlignment="1" applyProtection="1">
      <alignment horizontal="centerContinuous"/>
    </xf>
    <xf numFmtId="49" fontId="18" fillId="2" borderId="49" xfId="0" applyNumberFormat="1" applyFont="1" applyFill="1" applyBorder="1" applyAlignment="1" applyProtection="1">
      <alignment horizontal="centerContinuous"/>
    </xf>
    <xf numFmtId="49" fontId="18" fillId="2" borderId="10" xfId="0" applyNumberFormat="1" applyFont="1" applyFill="1" applyBorder="1" applyAlignment="1" applyProtection="1">
      <alignment horizontal="centerContinuous" vertical="center" wrapText="1"/>
    </xf>
    <xf numFmtId="0" fontId="7" fillId="0" borderId="0" xfId="0" applyFont="1" applyFill="1" applyBorder="1" applyAlignment="1" applyProtection="1">
      <alignment horizontal="centerContinuous"/>
    </xf>
    <xf numFmtId="49" fontId="18" fillId="2" borderId="56" xfId="0" applyNumberFormat="1" applyFont="1" applyFill="1" applyBorder="1" applyAlignment="1" applyProtection="1">
      <alignment horizontal="centerContinuous"/>
    </xf>
    <xf numFmtId="49" fontId="18" fillId="2" borderId="59" xfId="0" applyNumberFormat="1" applyFont="1" applyFill="1" applyBorder="1" applyAlignment="1" applyProtection="1">
      <alignment horizontal="centerContinuous"/>
    </xf>
    <xf numFmtId="0" fontId="7" fillId="0" borderId="9" xfId="0" applyFont="1" applyBorder="1" applyAlignment="1" applyProtection="1">
      <alignment horizontal="centerContinuous" vertical="center" wrapText="1"/>
    </xf>
    <xf numFmtId="0" fontId="7" fillId="0" borderId="9" xfId="0" applyFont="1" applyFill="1" applyBorder="1" applyAlignment="1" applyProtection="1">
      <alignment horizontal="centerContinuous" vertical="center" wrapText="1"/>
    </xf>
    <xf numFmtId="0" fontId="27" fillId="0" borderId="11" xfId="0" applyFont="1" applyBorder="1" applyAlignment="1" applyProtection="1">
      <alignment horizontal="centerContinuous" vertical="center" wrapText="1"/>
    </xf>
    <xf numFmtId="0" fontId="7" fillId="0" borderId="10" xfId="0" applyFont="1" applyFill="1" applyBorder="1" applyProtection="1"/>
    <xf numFmtId="9" fontId="7" fillId="0" borderId="10" xfId="5" applyFont="1" applyBorder="1" applyProtection="1">
      <protection locked="0"/>
    </xf>
    <xf numFmtId="9" fontId="7" fillId="0" borderId="56" xfId="5" applyFont="1" applyBorder="1" applyProtection="1">
      <protection locked="0"/>
    </xf>
    <xf numFmtId="0" fontId="7" fillId="0" borderId="0" xfId="0" applyFont="1" applyFill="1" applyBorder="1" applyAlignment="1" applyProtection="1">
      <alignment horizontal="centerContinuous" vertical="center" wrapText="1"/>
    </xf>
    <xf numFmtId="3" fontId="4" fillId="0" borderId="0" xfId="0" applyNumberFormat="1" applyFont="1" applyFill="1" applyBorder="1" applyProtection="1"/>
    <xf numFmtId="9" fontId="0" fillId="0" borderId="2" xfId="0" applyNumberFormat="1" applyBorder="1" applyProtection="1">
      <protection locked="0"/>
    </xf>
    <xf numFmtId="9" fontId="0" fillId="0" borderId="2" xfId="0" applyNumberFormat="1" applyFill="1" applyBorder="1" applyProtection="1">
      <protection locked="0"/>
    </xf>
    <xf numFmtId="9" fontId="7" fillId="0" borderId="3" xfId="5" applyFont="1" applyFill="1" applyBorder="1" applyAlignment="1" applyProtection="1">
      <alignment horizontal="centerContinuous" vertical="center" wrapText="1"/>
    </xf>
    <xf numFmtId="0" fontId="29" fillId="0" borderId="2" xfId="0" applyFont="1" applyFill="1" applyBorder="1" applyProtection="1"/>
    <xf numFmtId="0" fontId="29" fillId="0" borderId="3" xfId="0" applyFont="1" applyFill="1" applyBorder="1" applyProtection="1"/>
    <xf numFmtId="0" fontId="8" fillId="0" borderId="2" xfId="0" applyFont="1" applyFill="1" applyBorder="1"/>
    <xf numFmtId="0" fontId="7" fillId="0" borderId="2" xfId="0" applyFont="1" applyFill="1" applyBorder="1" applyProtection="1"/>
    <xf numFmtId="0" fontId="8" fillId="0" borderId="2" xfId="0" applyFont="1" applyBorder="1"/>
    <xf numFmtId="0" fontId="8" fillId="0" borderId="3" xfId="0" applyFont="1" applyBorder="1"/>
    <xf numFmtId="0" fontId="27" fillId="0" borderId="11" xfId="0" applyFont="1" applyFill="1" applyBorder="1" applyAlignment="1">
      <alignment horizontal="left"/>
    </xf>
    <xf numFmtId="0" fontId="28" fillId="6" borderId="11" xfId="0" applyFont="1" applyFill="1" applyBorder="1" applyAlignment="1">
      <alignment horizontal="left"/>
    </xf>
    <xf numFmtId="0" fontId="7" fillId="2" borderId="9" xfId="0" applyFont="1" applyFill="1" applyBorder="1"/>
    <xf numFmtId="0" fontId="27" fillId="2" borderId="57" xfId="0" applyFont="1" applyFill="1" applyBorder="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0" fillId="5" borderId="0" xfId="0" applyFill="1" applyProtection="1"/>
    <xf numFmtId="0" fontId="0" fillId="5" borderId="0" xfId="0" applyFill="1" applyBorder="1" applyProtection="1">
      <protection locked="0"/>
    </xf>
    <xf numFmtId="0" fontId="0" fillId="5" borderId="0" xfId="0" applyFill="1" applyProtection="1">
      <protection locked="0"/>
    </xf>
    <xf numFmtId="0" fontId="0" fillId="5" borderId="0" xfId="0" applyFill="1" applyBorder="1" applyProtection="1"/>
    <xf numFmtId="0" fontId="0" fillId="5" borderId="52" xfId="0" applyFill="1" applyBorder="1" applyProtection="1">
      <protection locked="0"/>
    </xf>
    <xf numFmtId="0" fontId="0" fillId="5" borderId="50" xfId="0" applyFill="1" applyBorder="1" applyProtection="1">
      <protection locked="0"/>
    </xf>
    <xf numFmtId="0" fontId="0" fillId="5" borderId="0" xfId="0" applyFill="1" applyBorder="1" applyAlignment="1" applyProtection="1">
      <protection locked="0"/>
    </xf>
    <xf numFmtId="0" fontId="0" fillId="5" borderId="0" xfId="0" applyFill="1" applyBorder="1" applyAlignment="1" applyProtection="1">
      <alignment horizontal="right"/>
    </xf>
    <xf numFmtId="0" fontId="0" fillId="5" borderId="64" xfId="0" applyFill="1" applyBorder="1" applyAlignment="1" applyProtection="1">
      <alignment horizontal="center"/>
      <protection locked="0"/>
    </xf>
    <xf numFmtId="0" fontId="0" fillId="5" borderId="0" xfId="0" applyFill="1" applyAlignment="1" applyProtection="1">
      <alignment horizontal="right"/>
    </xf>
    <xf numFmtId="0" fontId="3" fillId="5" borderId="0" xfId="0" applyFont="1" applyFill="1" applyAlignment="1" applyProtection="1">
      <alignment horizontal="left"/>
    </xf>
    <xf numFmtId="0" fontId="3" fillId="5" borderId="0" xfId="0" applyFont="1" applyFill="1" applyBorder="1" applyAlignment="1" applyProtection="1">
      <alignment horizontal="centerContinuous"/>
    </xf>
    <xf numFmtId="0" fontId="0" fillId="5" borderId="0" xfId="0" applyFill="1" applyBorder="1" applyAlignment="1" applyProtection="1">
      <alignment horizontal="centerContinuous"/>
    </xf>
    <xf numFmtId="0" fontId="7" fillId="5" borderId="0" xfId="0" applyFont="1" applyFill="1" applyBorder="1" applyAlignment="1" applyProtection="1">
      <alignment horizontal="left"/>
    </xf>
    <xf numFmtId="0" fontId="7" fillId="5" borderId="0" xfId="0" applyFont="1" applyFill="1" applyBorder="1" applyAlignment="1" applyProtection="1">
      <alignment horizontal="right"/>
      <protection locked="0"/>
    </xf>
    <xf numFmtId="0" fontId="7" fillId="5" borderId="9" xfId="0" applyFont="1" applyFill="1" applyBorder="1" applyAlignment="1" applyProtection="1">
      <alignment horizontal="center" vertical="center" wrapText="1"/>
    </xf>
    <xf numFmtId="0" fontId="3" fillId="5" borderId="0" xfId="0" applyFont="1" applyFill="1" applyProtection="1"/>
    <xf numFmtId="0" fontId="0" fillId="5" borderId="0" xfId="0" applyFill="1" applyAlignment="1" applyProtection="1"/>
    <xf numFmtId="3" fontId="0" fillId="5" borderId="0" xfId="0" applyNumberFormat="1" applyFill="1" applyProtection="1"/>
    <xf numFmtId="0" fontId="29" fillId="0" borderId="0" xfId="0" applyFont="1" applyFill="1" applyBorder="1" applyProtection="1"/>
    <xf numFmtId="3" fontId="4" fillId="0" borderId="0" xfId="0" applyNumberFormat="1" applyFont="1" applyFill="1" applyBorder="1" applyProtection="1">
      <protection locked="0"/>
    </xf>
    <xf numFmtId="9" fontId="4" fillId="0" borderId="0" xfId="5" applyFont="1" applyFill="1" applyBorder="1" applyProtection="1"/>
    <xf numFmtId="49" fontId="27" fillId="0" borderId="2" xfId="0" applyNumberFormat="1" applyFont="1" applyFill="1" applyBorder="1" applyAlignment="1" applyProtection="1">
      <alignment horizontal="left"/>
    </xf>
    <xf numFmtId="49" fontId="27" fillId="0" borderId="2" xfId="0" applyNumberFormat="1" applyFont="1" applyBorder="1" applyAlignment="1" applyProtection="1">
      <alignment horizontal="left"/>
    </xf>
    <xf numFmtId="49" fontId="28" fillId="0" borderId="2" xfId="0" applyNumberFormat="1" applyFont="1" applyFill="1" applyBorder="1" applyAlignment="1" applyProtection="1">
      <alignment horizontal="left"/>
    </xf>
    <xf numFmtId="49" fontId="35" fillId="0" borderId="2" xfId="0" applyNumberFormat="1" applyFont="1" applyBorder="1" applyAlignment="1" applyProtection="1">
      <alignment horizontal="left"/>
    </xf>
    <xf numFmtId="49" fontId="35" fillId="0" borderId="2" xfId="0" applyNumberFormat="1" applyFont="1" applyFill="1" applyBorder="1" applyAlignment="1" applyProtection="1">
      <alignment horizontal="left"/>
    </xf>
    <xf numFmtId="49" fontId="0" fillId="0" borderId="3" xfId="0" applyNumberFormat="1" applyBorder="1" applyAlignment="1" applyProtection="1">
      <alignment horizontal="left"/>
    </xf>
    <xf numFmtId="0" fontId="27" fillId="0" borderId="0" xfId="0" applyNumberFormat="1" applyFont="1" applyBorder="1" applyAlignment="1" applyProtection="1">
      <alignment horizontal="left"/>
    </xf>
    <xf numFmtId="49" fontId="8" fillId="0" borderId="2" xfId="0" applyNumberFormat="1" applyFont="1" applyBorder="1" applyAlignment="1" applyProtection="1">
      <alignment horizontal="left"/>
    </xf>
    <xf numFmtId="49" fontId="5" fillId="0" borderId="11" xfId="0" applyNumberFormat="1" applyFont="1" applyFill="1" applyBorder="1" applyAlignment="1" applyProtection="1">
      <alignment horizontal="left"/>
    </xf>
    <xf numFmtId="49" fontId="5" fillId="0" borderId="2" xfId="0" applyNumberFormat="1" applyFont="1" applyBorder="1" applyAlignment="1" applyProtection="1">
      <alignment horizontal="left"/>
    </xf>
    <xf numFmtId="49" fontId="5" fillId="0" borderId="2" xfId="0" applyNumberFormat="1" applyFont="1" applyFill="1" applyBorder="1" applyAlignment="1" applyProtection="1">
      <alignment horizontal="left"/>
    </xf>
    <xf numFmtId="49" fontId="27" fillId="0" borderId="2" xfId="0" applyNumberFormat="1" applyFont="1" applyFill="1" applyBorder="1" applyProtection="1"/>
    <xf numFmtId="49" fontId="27" fillId="0" borderId="2" xfId="0" applyNumberFormat="1" applyFont="1" applyBorder="1" applyProtection="1"/>
    <xf numFmtId="49" fontId="29" fillId="0" borderId="2" xfId="0" applyNumberFormat="1" applyFont="1" applyFill="1" applyBorder="1" applyProtection="1"/>
    <xf numFmtId="0" fontId="7" fillId="7" borderId="9" xfId="0" applyFont="1" applyFill="1" applyBorder="1"/>
    <xf numFmtId="49" fontId="16" fillId="0" borderId="0" xfId="0" applyNumberFormat="1" applyFont="1" applyFill="1" applyBorder="1" applyProtection="1"/>
    <xf numFmtId="49" fontId="16" fillId="0" borderId="0" xfId="0" applyNumberFormat="1" applyFont="1" applyAlignment="1" applyProtection="1">
      <alignment horizontal="left"/>
    </xf>
    <xf numFmtId="49" fontId="16" fillId="0" borderId="0" xfId="0" applyNumberFormat="1" applyFont="1" applyProtection="1"/>
    <xf numFmtId="0" fontId="0" fillId="5" borderId="0" xfId="0" applyFill="1" applyAlignment="1" applyProtection="1">
      <alignment vertical="center"/>
    </xf>
    <xf numFmtId="0" fontId="0" fillId="5" borderId="0" xfId="0" applyFill="1" applyBorder="1" applyAlignment="1" applyProtection="1">
      <alignment vertical="center"/>
      <protection locked="0"/>
    </xf>
    <xf numFmtId="0" fontId="0" fillId="5" borderId="0" xfId="0" applyFill="1" applyAlignment="1" applyProtection="1">
      <alignment vertical="center"/>
      <protection locked="0"/>
    </xf>
    <xf numFmtId="0" fontId="0" fillId="5" borderId="0" xfId="0" applyFill="1" applyBorder="1" applyAlignment="1" applyProtection="1">
      <alignment horizontal="right" vertical="center"/>
    </xf>
    <xf numFmtId="0" fontId="0" fillId="5" borderId="0" xfId="0" applyFill="1" applyAlignment="1" applyProtection="1">
      <alignment horizontal="right" vertical="center"/>
    </xf>
    <xf numFmtId="0" fontId="0" fillId="5" borderId="60" xfId="0" applyFill="1" applyBorder="1" applyAlignment="1" applyProtection="1">
      <alignment vertical="center"/>
      <protection locked="0"/>
    </xf>
    <xf numFmtId="0" fontId="0" fillId="5" borderId="14" xfId="0" applyFill="1" applyBorder="1" applyAlignment="1" applyProtection="1">
      <alignment horizontal="center" vertical="center"/>
      <protection locked="0"/>
    </xf>
    <xf numFmtId="0" fontId="0" fillId="0" borderId="0" xfId="0" applyFill="1" applyProtection="1">
      <protection locked="0"/>
    </xf>
    <xf numFmtId="0" fontId="7" fillId="0" borderId="2" xfId="0" applyFont="1" applyFill="1" applyBorder="1" applyAlignment="1" applyProtection="1">
      <alignment horizontal="center" vertical="center" wrapText="1"/>
    </xf>
    <xf numFmtId="193" fontId="7" fillId="0" borderId="2" xfId="5" applyNumberFormat="1" applyFont="1" applyFill="1" applyBorder="1" applyProtection="1"/>
    <xf numFmtId="3" fontId="0" fillId="0" borderId="2" xfId="0" applyNumberFormat="1" applyFill="1" applyBorder="1" applyProtection="1"/>
    <xf numFmtId="193" fontId="0" fillId="0" borderId="2" xfId="5" applyNumberFormat="1" applyFont="1" applyFill="1" applyBorder="1" applyProtection="1"/>
    <xf numFmtId="193" fontId="4" fillId="0" borderId="2" xfId="5" applyNumberFormat="1" applyFont="1" applyFill="1" applyBorder="1" applyProtection="1"/>
    <xf numFmtId="193" fontId="0" fillId="0" borderId="3" xfId="5" applyNumberFormat="1" applyFont="1" applyFill="1" applyBorder="1" applyProtection="1"/>
    <xf numFmtId="0" fontId="0" fillId="0" borderId="0" xfId="0" applyFill="1" applyAlignment="1" applyProtection="1"/>
    <xf numFmtId="14" fontId="0" fillId="0" borderId="0" xfId="0" applyNumberFormat="1" applyFill="1" applyProtection="1">
      <protection locked="0"/>
    </xf>
    <xf numFmtId="0" fontId="0" fillId="5" borderId="60" xfId="0" applyFill="1" applyBorder="1"/>
    <xf numFmtId="3" fontId="7" fillId="0" borderId="2" xfId="0" applyNumberFormat="1" applyFont="1" applyFill="1" applyBorder="1" applyAlignment="1" applyProtection="1">
      <alignment horizontal="right" vertical="top" wrapText="1"/>
    </xf>
    <xf numFmtId="0" fontId="27" fillId="0" borderId="2" xfId="0" applyFont="1" applyFill="1" applyBorder="1" applyAlignment="1" applyProtection="1">
      <alignment horizontal="centerContinuous" vertical="center" wrapText="1"/>
    </xf>
    <xf numFmtId="49" fontId="0" fillId="0" borderId="2" xfId="0" applyNumberFormat="1" applyFill="1" applyBorder="1"/>
    <xf numFmtId="0" fontId="0" fillId="0" borderId="2" xfId="0" applyFill="1" applyBorder="1"/>
    <xf numFmtId="49" fontId="0" fillId="0" borderId="3" xfId="0" applyNumberFormat="1" applyFill="1" applyBorder="1"/>
    <xf numFmtId="0" fontId="7" fillId="0" borderId="10" xfId="0" applyFont="1" applyBorder="1" applyAlignment="1" applyProtection="1">
      <alignment horizontal="left"/>
    </xf>
    <xf numFmtId="0" fontId="8" fillId="0" borderId="2" xfId="0" applyFont="1" applyBorder="1" applyAlignment="1" applyProtection="1">
      <alignment horizontal="left"/>
    </xf>
    <xf numFmtId="0" fontId="5" fillId="0" borderId="2" xfId="0" applyFont="1" applyBorder="1" applyAlignment="1" applyProtection="1">
      <alignment horizontal="left"/>
    </xf>
    <xf numFmtId="0" fontId="8" fillId="0" borderId="2" xfId="0" applyFont="1" applyFill="1" applyBorder="1" applyAlignment="1" applyProtection="1">
      <alignment horizontal="left"/>
    </xf>
    <xf numFmtId="0" fontId="5" fillId="0" borderId="2" xfId="0" applyFont="1" applyFill="1" applyBorder="1" applyAlignment="1" applyProtection="1">
      <alignment horizontal="left"/>
    </xf>
    <xf numFmtId="0" fontId="7" fillId="0" borderId="2" xfId="0" applyFont="1" applyFill="1" applyBorder="1" applyAlignment="1" applyProtection="1">
      <alignment horizontal="left"/>
    </xf>
    <xf numFmtId="0" fontId="3" fillId="5" borderId="0" xfId="0" applyFont="1" applyFill="1" applyBorder="1" applyAlignment="1" applyProtection="1">
      <alignment horizontal="left"/>
    </xf>
    <xf numFmtId="9" fontId="0" fillId="5" borderId="0" xfId="5" applyFont="1" applyFill="1" applyProtection="1"/>
    <xf numFmtId="0" fontId="7" fillId="5" borderId="12" xfId="0" applyFont="1" applyFill="1" applyBorder="1" applyAlignment="1" applyProtection="1">
      <alignment horizontal="left"/>
    </xf>
    <xf numFmtId="0" fontId="7" fillId="5" borderId="56" xfId="0" applyFont="1" applyFill="1" applyBorder="1" applyAlignment="1" applyProtection="1">
      <alignment horizontal="left"/>
    </xf>
    <xf numFmtId="0" fontId="7" fillId="5" borderId="11" xfId="0" applyFont="1" applyFill="1" applyBorder="1" applyAlignment="1" applyProtection="1">
      <alignment horizontal="left"/>
    </xf>
    <xf numFmtId="0" fontId="0" fillId="5" borderId="0" xfId="0" applyFill="1" applyBorder="1" applyAlignment="1" applyProtection="1"/>
    <xf numFmtId="0" fontId="7" fillId="5" borderId="57" xfId="0" applyFont="1" applyFill="1" applyBorder="1" applyAlignment="1" applyProtection="1">
      <alignment horizontal="left"/>
    </xf>
    <xf numFmtId="0" fontId="7" fillId="5" borderId="62" xfId="0" applyFont="1" applyFill="1" applyBorder="1" applyAlignment="1" applyProtection="1">
      <alignment horizontal="left"/>
    </xf>
    <xf numFmtId="0" fontId="0" fillId="5" borderId="0" xfId="0" applyFill="1" applyAlignment="1" applyProtection="1">
      <alignment horizontal="left"/>
    </xf>
    <xf numFmtId="3" fontId="0" fillId="5" borderId="0" xfId="0" applyNumberFormat="1" applyFill="1" applyBorder="1" applyProtection="1"/>
    <xf numFmtId="0" fontId="17" fillId="0" borderId="0" xfId="0" applyFont="1" applyFill="1" applyBorder="1" applyProtection="1"/>
    <xf numFmtId="0" fontId="17" fillId="0" borderId="0" xfId="0" applyFont="1" applyProtection="1"/>
    <xf numFmtId="0" fontId="17" fillId="0" borderId="0" xfId="0" applyFont="1" applyFill="1" applyProtection="1"/>
    <xf numFmtId="0" fontId="17" fillId="0" borderId="0" xfId="0" applyFont="1" applyBorder="1" applyProtection="1"/>
    <xf numFmtId="0" fontId="18" fillId="0" borderId="0" xfId="0" applyFont="1" applyFill="1" applyBorder="1" applyProtection="1"/>
    <xf numFmtId="0" fontId="28" fillId="0" borderId="0" xfId="0" applyFont="1" applyProtection="1"/>
    <xf numFmtId="0" fontId="27" fillId="0" borderId="10" xfId="0" applyFont="1" applyBorder="1" applyAlignment="1" applyProtection="1">
      <alignment horizontal="centerContinuous" vertical="center" wrapText="1"/>
    </xf>
    <xf numFmtId="0" fontId="27" fillId="0" borderId="0" xfId="0" applyFont="1" applyFill="1"/>
    <xf numFmtId="0" fontId="28" fillId="0" borderId="0" xfId="0" applyFont="1" applyFill="1" applyProtection="1"/>
    <xf numFmtId="0" fontId="7" fillId="5" borderId="12" xfId="0" applyFont="1" applyFill="1" applyBorder="1" applyAlignment="1" applyProtection="1">
      <alignment horizontal="centerContinuous" vertical="center" wrapText="1"/>
    </xf>
    <xf numFmtId="0" fontId="7" fillId="5" borderId="56" xfId="0" applyFont="1" applyFill="1" applyBorder="1" applyAlignment="1" applyProtection="1">
      <alignment horizontal="centerContinuous" vertical="center" wrapText="1"/>
    </xf>
    <xf numFmtId="0" fontId="7" fillId="5" borderId="59" xfId="0" applyFont="1" applyFill="1" applyBorder="1" applyAlignment="1" applyProtection="1">
      <alignment horizontal="centerContinuous" vertical="center" wrapText="1"/>
    </xf>
    <xf numFmtId="0" fontId="0" fillId="5" borderId="48" xfId="0" applyFill="1" applyBorder="1" applyProtection="1"/>
    <xf numFmtId="0" fontId="7" fillId="5" borderId="48" xfId="0" applyFont="1" applyFill="1" applyBorder="1" applyAlignment="1" applyProtection="1">
      <alignment horizontal="centerContinuous" vertical="center" wrapText="1"/>
    </xf>
    <xf numFmtId="0" fontId="7" fillId="5" borderId="0" xfId="0" applyFont="1" applyFill="1" applyBorder="1" applyProtection="1"/>
    <xf numFmtId="0" fontId="28" fillId="5" borderId="0" xfId="0" applyNumberFormat="1" applyFont="1" applyFill="1" applyBorder="1" applyAlignment="1" applyProtection="1">
      <alignment horizontal="left"/>
    </xf>
    <xf numFmtId="0" fontId="7" fillId="5" borderId="4" xfId="0" applyFont="1" applyFill="1" applyBorder="1" applyAlignment="1" applyProtection="1">
      <alignment horizontal="centerContinuous" vertical="center" wrapText="1"/>
    </xf>
    <xf numFmtId="0" fontId="7" fillId="5" borderId="49" xfId="0" applyFont="1" applyFill="1" applyBorder="1" applyAlignment="1" applyProtection="1">
      <alignment horizontal="centerContinuous" vertical="center" wrapText="1"/>
    </xf>
    <xf numFmtId="0" fontId="28" fillId="5" borderId="48" xfId="0" applyFont="1" applyFill="1" applyBorder="1" applyAlignment="1" applyProtection="1">
      <alignment horizontal="left"/>
    </xf>
    <xf numFmtId="0" fontId="6" fillId="5" borderId="0" xfId="0" applyFont="1" applyFill="1" applyProtection="1"/>
    <xf numFmtId="0" fontId="7" fillId="5" borderId="9" xfId="0" applyFont="1" applyFill="1" applyBorder="1" applyAlignment="1" applyProtection="1">
      <alignment horizontal="center"/>
    </xf>
    <xf numFmtId="0" fontId="0" fillId="5" borderId="48" xfId="0" applyFill="1" applyBorder="1" applyAlignment="1" applyProtection="1">
      <alignment horizontal="center"/>
    </xf>
    <xf numFmtId="0" fontId="40" fillId="0" borderId="0" xfId="0" applyFont="1" applyFill="1" applyProtection="1"/>
    <xf numFmtId="0" fontId="40" fillId="0" borderId="0" xfId="0" applyFont="1" applyFill="1" applyBorder="1" applyProtection="1"/>
    <xf numFmtId="0" fontId="38" fillId="2" borderId="12" xfId="0" applyFont="1" applyFill="1" applyBorder="1" applyAlignment="1" applyProtection="1">
      <alignment horizontal="centerContinuous" vertical="center"/>
    </xf>
    <xf numFmtId="0" fontId="38" fillId="2" borderId="57" xfId="0" applyFont="1" applyFill="1" applyBorder="1" applyAlignment="1" applyProtection="1">
      <alignment horizontal="centerContinuous" vertical="center"/>
    </xf>
    <xf numFmtId="0" fontId="41" fillId="2" borderId="9" xfId="0" applyFont="1" applyFill="1" applyBorder="1" applyAlignment="1">
      <alignment horizontal="left"/>
    </xf>
    <xf numFmtId="3" fontId="40" fillId="0" borderId="0" xfId="0" applyNumberFormat="1" applyFont="1" applyFill="1" applyProtection="1"/>
    <xf numFmtId="0" fontId="41" fillId="2" borderId="10" xfId="0" applyFont="1" applyFill="1" applyBorder="1" applyAlignment="1" applyProtection="1">
      <alignment horizontal="centerContinuous" vertical="center" wrapText="1"/>
    </xf>
    <xf numFmtId="0" fontId="41" fillId="2" borderId="3" xfId="0" applyFont="1" applyFill="1" applyBorder="1" applyAlignment="1" applyProtection="1">
      <alignment horizontal="centerContinuous" vertical="center" wrapText="1"/>
    </xf>
    <xf numFmtId="1" fontId="38" fillId="2" borderId="57" xfId="0" applyNumberFormat="1" applyFont="1" applyFill="1" applyBorder="1" applyAlignment="1" applyProtection="1">
      <alignment horizontal="left"/>
    </xf>
    <xf numFmtId="1" fontId="38" fillId="2" borderId="4" xfId="0" applyNumberFormat="1" applyFont="1" applyFill="1" applyBorder="1" applyAlignment="1" applyProtection="1">
      <alignment horizontal="left"/>
    </xf>
    <xf numFmtId="1" fontId="38" fillId="2" borderId="49" xfId="0" applyNumberFormat="1" applyFont="1" applyFill="1" applyBorder="1" applyAlignment="1" applyProtection="1">
      <alignment horizontal="left"/>
    </xf>
    <xf numFmtId="0" fontId="40" fillId="5" borderId="0" xfId="0" applyFont="1" applyFill="1" applyProtection="1"/>
    <xf numFmtId="0" fontId="41" fillId="5" borderId="0" xfId="0" applyFont="1" applyFill="1" applyProtection="1"/>
    <xf numFmtId="0" fontId="41" fillId="5" borderId="0" xfId="0" applyFont="1" applyFill="1" applyAlignment="1" applyProtection="1">
      <alignment horizontal="right"/>
    </xf>
    <xf numFmtId="0" fontId="38" fillId="5" borderId="0" xfId="0" applyFont="1" applyFill="1" applyBorder="1" applyAlignment="1" applyProtection="1">
      <alignment horizontal="left"/>
    </xf>
    <xf numFmtId="4" fontId="40" fillId="5" borderId="0" xfId="0" applyNumberFormat="1" applyFont="1" applyFill="1" applyProtection="1"/>
    <xf numFmtId="0" fontId="38" fillId="5" borderId="0" xfId="0" applyFont="1" applyFill="1" applyBorder="1" applyAlignment="1" applyProtection="1">
      <alignment horizontal="right"/>
    </xf>
    <xf numFmtId="4" fontId="38" fillId="5" borderId="0" xfId="0" applyNumberFormat="1" applyFont="1" applyFill="1" applyBorder="1" applyAlignment="1" applyProtection="1">
      <alignment horizontal="left"/>
    </xf>
    <xf numFmtId="4" fontId="38" fillId="5" borderId="0" xfId="0" applyNumberFormat="1" applyFont="1" applyFill="1" applyBorder="1" applyAlignment="1" applyProtection="1">
      <alignment horizontal="right"/>
    </xf>
    <xf numFmtId="0" fontId="41" fillId="5" borderId="0" xfId="0" applyFont="1" applyFill="1" applyBorder="1" applyAlignment="1" applyProtection="1">
      <alignment horizontal="centerContinuous"/>
    </xf>
    <xf numFmtId="0" fontId="38" fillId="5" borderId="0" xfId="0" applyFont="1" applyFill="1" applyBorder="1" applyAlignment="1" applyProtection="1">
      <alignment horizontal="center"/>
    </xf>
    <xf numFmtId="0" fontId="41" fillId="5" borderId="0" xfId="0" applyFont="1" applyFill="1" applyBorder="1" applyAlignment="1" applyProtection="1">
      <alignment horizontal="center"/>
    </xf>
    <xf numFmtId="0" fontId="44" fillId="5" borderId="0" xfId="0" applyFont="1" applyFill="1" applyBorder="1" applyAlignment="1" applyProtection="1">
      <alignment horizontal="centerContinuous"/>
    </xf>
    <xf numFmtId="0" fontId="40" fillId="5" borderId="0" xfId="0" applyFont="1" applyFill="1" applyBorder="1" applyAlignment="1" applyProtection="1">
      <alignment horizontal="left"/>
    </xf>
    <xf numFmtId="0" fontId="40" fillId="5" borderId="0" xfId="0" applyFont="1" applyFill="1" applyAlignment="1" applyProtection="1">
      <alignment horizontal="left"/>
    </xf>
    <xf numFmtId="0" fontId="7" fillId="5" borderId="10" xfId="0" applyFont="1" applyFill="1" applyBorder="1" applyAlignment="1" applyProtection="1">
      <alignment horizontal="centerContinuous" vertical="center" wrapText="1"/>
    </xf>
    <xf numFmtId="0" fontId="7" fillId="5" borderId="10" xfId="0" applyFont="1" applyFill="1" applyBorder="1" applyAlignment="1" applyProtection="1">
      <alignment horizontal="centerContinuous" wrapText="1"/>
    </xf>
    <xf numFmtId="0" fontId="7" fillId="5" borderId="3" xfId="0" applyFont="1" applyFill="1" applyBorder="1" applyAlignment="1" applyProtection="1">
      <alignment horizontal="centerContinuous" vertical="center" wrapText="1"/>
    </xf>
    <xf numFmtId="0" fontId="7" fillId="5" borderId="3" xfId="0" applyFont="1" applyFill="1" applyBorder="1" applyAlignment="1" applyProtection="1">
      <alignment horizontal="centerContinuous" wrapText="1"/>
    </xf>
    <xf numFmtId="0" fontId="7" fillId="5" borderId="0" xfId="0" applyFont="1" applyFill="1" applyAlignment="1">
      <alignment vertical="center"/>
    </xf>
    <xf numFmtId="0" fontId="7" fillId="8" borderId="37" xfId="0" applyFont="1" applyFill="1" applyBorder="1" applyAlignment="1" applyProtection="1">
      <alignment vertical="center"/>
    </xf>
    <xf numFmtId="3" fontId="7" fillId="8" borderId="38" xfId="0" applyNumberFormat="1" applyFont="1" applyFill="1" applyBorder="1" applyAlignment="1" applyProtection="1">
      <alignment vertical="center"/>
    </xf>
    <xf numFmtId="0" fontId="7" fillId="8" borderId="38" xfId="0" applyFont="1" applyFill="1" applyBorder="1" applyAlignment="1" applyProtection="1">
      <alignment vertical="center"/>
    </xf>
    <xf numFmtId="0" fontId="7" fillId="8" borderId="65" xfId="0" applyFont="1" applyFill="1" applyBorder="1" applyAlignment="1" applyProtection="1">
      <alignment vertical="center"/>
    </xf>
    <xf numFmtId="0" fontId="7" fillId="5" borderId="0" xfId="0" applyFont="1" applyFill="1" applyBorder="1" applyAlignment="1">
      <alignment vertical="center"/>
    </xf>
    <xf numFmtId="0" fontId="4" fillId="8" borderId="36" xfId="0" applyFont="1" applyFill="1" applyBorder="1" applyAlignment="1" applyProtection="1">
      <alignment vertical="center"/>
    </xf>
    <xf numFmtId="3" fontId="4" fillId="5" borderId="13" xfId="0" applyNumberFormat="1" applyFont="1" applyFill="1" applyBorder="1" applyAlignment="1" applyProtection="1">
      <alignment vertical="center"/>
      <protection locked="0"/>
    </xf>
    <xf numFmtId="3" fontId="4" fillId="5" borderId="53" xfId="0" applyNumberFormat="1" applyFont="1" applyFill="1" applyBorder="1" applyAlignment="1" applyProtection="1">
      <alignment vertical="center"/>
      <protection locked="0"/>
    </xf>
    <xf numFmtId="0" fontId="7" fillId="8" borderId="36" xfId="0" applyFont="1" applyFill="1" applyBorder="1" applyAlignment="1" applyProtection="1">
      <alignment vertical="center"/>
    </xf>
    <xf numFmtId="3" fontId="7" fillId="8" borderId="13" xfId="0" applyNumberFormat="1" applyFont="1" applyFill="1" applyBorder="1" applyAlignment="1" applyProtection="1">
      <alignment vertical="center"/>
    </xf>
    <xf numFmtId="3" fontId="7" fillId="8" borderId="53" xfId="0" applyNumberFormat="1" applyFont="1" applyFill="1" applyBorder="1" applyAlignment="1" applyProtection="1">
      <alignment vertical="center"/>
    </xf>
    <xf numFmtId="0" fontId="4" fillId="8" borderId="34" xfId="0" applyFont="1" applyFill="1" applyBorder="1" applyAlignment="1" applyProtection="1">
      <alignment vertical="center"/>
    </xf>
    <xf numFmtId="3" fontId="4" fillId="5" borderId="35" xfId="0" applyNumberFormat="1" applyFont="1" applyFill="1" applyBorder="1" applyAlignment="1" applyProtection="1">
      <alignment vertical="center"/>
      <protection locked="0"/>
    </xf>
    <xf numFmtId="3" fontId="4" fillId="5" borderId="66" xfId="0" applyNumberFormat="1" applyFont="1" applyFill="1" applyBorder="1" applyAlignment="1" applyProtection="1">
      <alignment vertical="center"/>
      <protection locked="0"/>
    </xf>
    <xf numFmtId="0" fontId="4" fillId="8" borderId="16" xfId="0" applyFont="1" applyFill="1" applyBorder="1" applyAlignment="1" applyProtection="1">
      <alignment vertical="center"/>
    </xf>
    <xf numFmtId="3" fontId="4" fillId="5" borderId="17" xfId="0" applyNumberFormat="1" applyFont="1" applyFill="1" applyBorder="1" applyAlignment="1" applyProtection="1">
      <alignment vertical="center"/>
      <protection locked="0"/>
    </xf>
    <xf numFmtId="3" fontId="4" fillId="5" borderId="54" xfId="0" applyNumberFormat="1" applyFont="1" applyFill="1" applyBorder="1" applyAlignment="1" applyProtection="1">
      <alignment vertical="center"/>
      <protection locked="0"/>
    </xf>
    <xf numFmtId="0" fontId="41" fillId="2" borderId="37" xfId="0" applyFont="1" applyFill="1" applyBorder="1" applyAlignment="1" applyProtection="1">
      <alignment vertical="center"/>
    </xf>
    <xf numFmtId="0" fontId="40" fillId="5" borderId="0" xfId="0" applyFont="1" applyFill="1" applyAlignment="1" applyProtection="1">
      <alignment vertical="center"/>
    </xf>
    <xf numFmtId="0" fontId="40" fillId="0" borderId="0" xfId="0" applyFont="1" applyFill="1" applyAlignment="1" applyProtection="1">
      <alignment vertical="center"/>
    </xf>
    <xf numFmtId="0" fontId="40" fillId="2" borderId="36" xfId="0" applyFont="1" applyFill="1" applyBorder="1" applyAlignment="1" applyProtection="1">
      <alignment vertical="center"/>
    </xf>
    <xf numFmtId="0" fontId="39" fillId="2" borderId="36" xfId="0" applyFont="1" applyFill="1" applyBorder="1" applyAlignment="1" applyProtection="1">
      <alignment horizontal="left" vertical="center"/>
    </xf>
    <xf numFmtId="1" fontId="38" fillId="2" borderId="16" xfId="0" applyNumberFormat="1" applyFont="1" applyFill="1" applyBorder="1" applyAlignment="1" applyProtection="1">
      <alignment horizontal="left" vertical="center"/>
    </xf>
    <xf numFmtId="0" fontId="40" fillId="5" borderId="0" xfId="0" applyFont="1" applyFill="1" applyBorder="1" applyAlignment="1" applyProtection="1">
      <alignment vertical="center"/>
    </xf>
    <xf numFmtId="0" fontId="40" fillId="0" borderId="0" xfId="0" applyFont="1" applyFill="1" applyBorder="1" applyAlignment="1" applyProtection="1">
      <alignment vertical="center"/>
    </xf>
    <xf numFmtId="1" fontId="38" fillId="2" borderId="57" xfId="0" applyNumberFormat="1" applyFont="1" applyFill="1" applyBorder="1" applyAlignment="1" applyProtection="1">
      <alignment horizontal="left" vertical="center"/>
    </xf>
    <xf numFmtId="0" fontId="46" fillId="0" borderId="0" xfId="0" applyFont="1" applyFill="1" applyProtection="1"/>
    <xf numFmtId="0" fontId="41" fillId="0" borderId="12" xfId="0" applyFont="1" applyFill="1" applyBorder="1" applyProtection="1"/>
    <xf numFmtId="0" fontId="40" fillId="0" borderId="0" xfId="0" applyFont="1" applyFill="1" applyBorder="1" applyAlignment="1" applyProtection="1"/>
    <xf numFmtId="0" fontId="41" fillId="0" borderId="11" xfId="0" applyFont="1" applyFill="1" applyBorder="1" applyProtection="1"/>
    <xf numFmtId="0" fontId="40" fillId="0" borderId="0" xfId="0" applyFont="1" applyFill="1" applyBorder="1" applyAlignment="1" applyProtection="1">
      <alignment horizontal="right"/>
    </xf>
    <xf numFmtId="0" fontId="41" fillId="0" borderId="57" xfId="0" applyFont="1" applyFill="1" applyBorder="1" applyProtection="1"/>
    <xf numFmtId="0" fontId="40" fillId="0" borderId="0" xfId="0" applyFont="1" applyFill="1" applyAlignment="1" applyProtection="1">
      <alignment horizontal="left"/>
    </xf>
    <xf numFmtId="0" fontId="41" fillId="0" borderId="0" xfId="0" applyFont="1" applyFill="1" applyProtection="1"/>
    <xf numFmtId="0" fontId="41" fillId="0" borderId="0" xfId="0" applyFont="1" applyFill="1" applyAlignment="1" applyProtection="1">
      <alignment horizontal="left"/>
    </xf>
    <xf numFmtId="14" fontId="41" fillId="0" borderId="0" xfId="0" applyNumberFormat="1" applyFont="1" applyFill="1" applyBorder="1" applyProtection="1"/>
    <xf numFmtId="0" fontId="41" fillId="0" borderId="0" xfId="0" applyFont="1" applyFill="1" applyAlignment="1" applyProtection="1">
      <alignment horizontal="right"/>
    </xf>
    <xf numFmtId="0" fontId="41" fillId="0" borderId="50" xfId="0" applyFont="1" applyFill="1" applyBorder="1" applyAlignment="1" applyProtection="1">
      <alignment horizontal="left"/>
      <protection locked="0"/>
    </xf>
    <xf numFmtId="0" fontId="41" fillId="0" borderId="0" xfId="0" applyFont="1" applyFill="1" applyBorder="1" applyAlignment="1" applyProtection="1">
      <alignment horizontal="left"/>
    </xf>
    <xf numFmtId="14" fontId="40" fillId="0" borderId="0" xfId="0" applyNumberFormat="1" applyFont="1" applyFill="1" applyBorder="1" applyProtection="1"/>
    <xf numFmtId="0" fontId="41" fillId="0" borderId="52" xfId="0" applyFont="1" applyFill="1" applyBorder="1" applyAlignment="1" applyProtection="1">
      <alignment horizontal="left"/>
      <protection locked="0"/>
    </xf>
    <xf numFmtId="3" fontId="41" fillId="0" borderId="9" xfId="0" applyNumberFormat="1" applyFont="1" applyFill="1" applyBorder="1" applyAlignment="1" applyProtection="1">
      <alignment horizontal="right"/>
    </xf>
    <xf numFmtId="0" fontId="41" fillId="2" borderId="67" xfId="0" applyFont="1" applyFill="1" applyBorder="1" applyAlignment="1" applyProtection="1">
      <alignment horizontal="centerContinuous" vertical="center" wrapText="1"/>
    </xf>
    <xf numFmtId="0" fontId="41" fillId="8" borderId="67" xfId="0" applyFont="1" applyFill="1" applyBorder="1" applyAlignment="1" applyProtection="1">
      <alignment horizontal="centerContinuous" vertical="center" wrapText="1"/>
    </xf>
    <xf numFmtId="0" fontId="41" fillId="2" borderId="68" xfId="0" applyFont="1" applyFill="1" applyBorder="1" applyAlignment="1" applyProtection="1">
      <alignment horizontal="centerContinuous" vertical="center" wrapText="1"/>
    </xf>
    <xf numFmtId="0" fontId="41" fillId="8" borderId="68" xfId="0" applyFont="1" applyFill="1" applyBorder="1" applyAlignment="1" applyProtection="1">
      <alignment horizontal="centerContinuous" vertical="center" wrapText="1"/>
    </xf>
    <xf numFmtId="0" fontId="47" fillId="2" borderId="2" xfId="0" applyFont="1" applyFill="1" applyBorder="1" applyAlignment="1">
      <alignment horizontal="left" vertical="center"/>
    </xf>
    <xf numFmtId="3" fontId="41" fillId="2" borderId="38" xfId="0" applyNumberFormat="1" applyFont="1" applyFill="1" applyBorder="1" applyAlignment="1" applyProtection="1">
      <alignment horizontal="center" vertical="center" wrapText="1"/>
      <protection locked="0"/>
    </xf>
    <xf numFmtId="3" fontId="41" fillId="2" borderId="30" xfId="0" applyNumberFormat="1" applyFont="1" applyFill="1" applyBorder="1" applyAlignment="1" applyProtection="1">
      <alignment horizontal="center" vertical="center" wrapText="1"/>
      <protection locked="0"/>
    </xf>
    <xf numFmtId="3" fontId="41" fillId="8" borderId="30" xfId="0" applyNumberFormat="1" applyFont="1" applyFill="1" applyBorder="1" applyAlignment="1" applyProtection="1">
      <alignment horizontal="center" vertical="center" wrapText="1"/>
      <protection locked="0"/>
    </xf>
    <xf numFmtId="0" fontId="41" fillId="2" borderId="30" xfId="0" applyFont="1" applyFill="1" applyBorder="1" applyAlignment="1" applyProtection="1">
      <alignment horizontal="center" vertical="center" wrapText="1"/>
      <protection locked="0"/>
    </xf>
    <xf numFmtId="0" fontId="41" fillId="2" borderId="36" xfId="0" applyFont="1" applyFill="1" applyBorder="1" applyAlignment="1" applyProtection="1">
      <alignment vertical="center"/>
    </xf>
    <xf numFmtId="3" fontId="41" fillId="2" borderId="13" xfId="0" applyNumberFormat="1" applyFont="1" applyFill="1" applyBorder="1" applyAlignment="1" applyProtection="1">
      <alignment vertical="center"/>
    </xf>
    <xf numFmtId="3" fontId="41" fillId="8" borderId="14" xfId="0" applyNumberFormat="1" applyFont="1" applyFill="1" applyBorder="1" applyAlignment="1" applyProtection="1">
      <alignment vertical="center"/>
    </xf>
    <xf numFmtId="193" fontId="41" fillId="2" borderId="14" xfId="5" applyNumberFormat="1" applyFont="1" applyFill="1" applyBorder="1" applyAlignment="1" applyProtection="1">
      <alignment vertical="center"/>
    </xf>
    <xf numFmtId="0" fontId="47" fillId="2" borderId="2" xfId="0" applyFont="1" applyFill="1" applyBorder="1" applyAlignment="1" applyProtection="1">
      <alignment horizontal="left" vertical="center"/>
    </xf>
    <xf numFmtId="3" fontId="41" fillId="2" borderId="14" xfId="0" applyNumberFormat="1" applyFont="1" applyFill="1" applyBorder="1" applyAlignment="1" applyProtection="1">
      <alignment vertical="center"/>
    </xf>
    <xf numFmtId="49" fontId="47" fillId="2" borderId="2" xfId="0" applyNumberFormat="1" applyFont="1" applyFill="1" applyBorder="1" applyAlignment="1" applyProtection="1">
      <alignment horizontal="left" vertical="center"/>
    </xf>
    <xf numFmtId="0" fontId="40" fillId="2" borderId="36" xfId="0" applyFont="1" applyFill="1" applyBorder="1" applyAlignment="1" applyProtection="1">
      <alignment horizontal="left" vertical="center" wrapText="1"/>
    </xf>
    <xf numFmtId="3" fontId="40" fillId="2" borderId="14" xfId="0" applyNumberFormat="1" applyFont="1" applyFill="1" applyBorder="1" applyAlignment="1" applyProtection="1">
      <alignment vertical="center"/>
    </xf>
    <xf numFmtId="3" fontId="40" fillId="8" borderId="14" xfId="0" applyNumberFormat="1" applyFont="1" applyFill="1" applyBorder="1" applyAlignment="1" applyProtection="1">
      <alignment vertical="center"/>
    </xf>
    <xf numFmtId="193" fontId="40" fillId="2" borderId="14" xfId="5" applyNumberFormat="1" applyFont="1" applyFill="1" applyBorder="1" applyAlignment="1" applyProtection="1">
      <alignment vertical="center"/>
    </xf>
    <xf numFmtId="0" fontId="47" fillId="9" borderId="2" xfId="0" applyFont="1" applyFill="1" applyBorder="1" applyAlignment="1" applyProtection="1">
      <alignment horizontal="left" vertical="center"/>
    </xf>
    <xf numFmtId="0" fontId="47" fillId="2" borderId="3" xfId="0" applyFont="1" applyFill="1" applyBorder="1" applyAlignment="1">
      <alignment horizontal="left" vertical="center"/>
    </xf>
    <xf numFmtId="0" fontId="41" fillId="2" borderId="16" xfId="0" applyFont="1" applyFill="1" applyBorder="1" applyAlignment="1" applyProtection="1">
      <alignment vertical="center"/>
    </xf>
    <xf numFmtId="3" fontId="41" fillId="2" borderId="17" xfId="0" applyNumberFormat="1" applyFont="1" applyFill="1" applyBorder="1" applyAlignment="1" applyProtection="1">
      <alignment vertical="center"/>
    </xf>
    <xf numFmtId="3" fontId="41" fillId="2" borderId="18" xfId="0" applyNumberFormat="1" applyFont="1" applyFill="1" applyBorder="1" applyAlignment="1" applyProtection="1">
      <alignment vertical="center"/>
    </xf>
    <xf numFmtId="3" fontId="41" fillId="8" borderId="18" xfId="0" applyNumberFormat="1" applyFont="1" applyFill="1" applyBorder="1" applyAlignment="1" applyProtection="1">
      <alignment vertical="center"/>
    </xf>
    <xf numFmtId="9" fontId="41" fillId="2" borderId="18" xfId="5" applyNumberFormat="1" applyFont="1" applyFill="1" applyBorder="1" applyAlignment="1" applyProtection="1">
      <alignment vertical="center"/>
    </xf>
    <xf numFmtId="193" fontId="41" fillId="2" borderId="18" xfId="5" applyNumberFormat="1" applyFont="1" applyFill="1" applyBorder="1" applyAlignment="1" applyProtection="1">
      <alignment vertical="center"/>
    </xf>
    <xf numFmtId="0" fontId="41" fillId="4" borderId="10" xfId="0" applyFont="1" applyFill="1" applyBorder="1" applyAlignment="1">
      <alignment vertical="center"/>
    </xf>
    <xf numFmtId="0" fontId="41" fillId="4" borderId="37" xfId="0" applyFont="1" applyFill="1" applyBorder="1" applyAlignment="1" applyProtection="1">
      <alignment vertical="center"/>
    </xf>
    <xf numFmtId="3" fontId="41" fillId="4" borderId="38" xfId="0" applyNumberFormat="1" applyFont="1" applyFill="1" applyBorder="1" applyAlignment="1" applyProtection="1">
      <alignment vertical="center"/>
      <protection locked="0"/>
    </xf>
    <xf numFmtId="3" fontId="41" fillId="4" borderId="30" xfId="0" applyNumberFormat="1" applyFont="1" applyFill="1" applyBorder="1" applyAlignment="1" applyProtection="1">
      <alignment vertical="center"/>
      <protection locked="0"/>
    </xf>
    <xf numFmtId="3" fontId="41" fillId="8" borderId="30" xfId="0" applyNumberFormat="1" applyFont="1" applyFill="1" applyBorder="1" applyAlignment="1" applyProtection="1">
      <alignment vertical="center"/>
      <protection locked="0"/>
    </xf>
    <xf numFmtId="193" fontId="40" fillId="4" borderId="30" xfId="5" applyNumberFormat="1" applyFont="1" applyFill="1" applyBorder="1" applyAlignment="1" applyProtection="1">
      <alignment vertical="center"/>
      <protection locked="0"/>
    </xf>
    <xf numFmtId="0" fontId="41" fillId="4" borderId="2" xfId="0" applyFont="1" applyFill="1" applyBorder="1" applyAlignment="1">
      <alignment vertical="center"/>
    </xf>
    <xf numFmtId="0" fontId="41" fillId="4" borderId="36" xfId="0" applyFont="1" applyFill="1" applyBorder="1" applyAlignment="1" applyProtection="1">
      <alignment vertical="center"/>
    </xf>
    <xf numFmtId="3" fontId="41" fillId="4" borderId="13" xfId="0" applyNumberFormat="1" applyFont="1" applyFill="1" applyBorder="1" applyAlignment="1" applyProtection="1">
      <alignment vertical="center"/>
      <protection locked="0"/>
    </xf>
    <xf numFmtId="3" fontId="41" fillId="4" borderId="14" xfId="0" applyNumberFormat="1" applyFont="1" applyFill="1" applyBorder="1" applyAlignment="1" applyProtection="1">
      <alignment vertical="center"/>
      <protection locked="0"/>
    </xf>
    <xf numFmtId="3" fontId="41" fillId="8" borderId="14" xfId="0" applyNumberFormat="1" applyFont="1" applyFill="1" applyBorder="1" applyAlignment="1" applyProtection="1">
      <alignment vertical="center"/>
      <protection locked="0"/>
    </xf>
    <xf numFmtId="193" fontId="40" fillId="4" borderId="14" xfId="5" applyNumberFormat="1" applyFont="1" applyFill="1" applyBorder="1" applyAlignment="1" applyProtection="1">
      <alignment vertical="center"/>
      <protection locked="0"/>
    </xf>
    <xf numFmtId="0" fontId="47" fillId="4" borderId="2" xfId="0" applyNumberFormat="1" applyFont="1" applyFill="1" applyBorder="1" applyAlignment="1" applyProtection="1">
      <alignment horizontal="left" vertical="center"/>
    </xf>
    <xf numFmtId="3" fontId="41" fillId="4" borderId="13" xfId="0" applyNumberFormat="1" applyFont="1" applyFill="1" applyBorder="1" applyAlignment="1" applyProtection="1">
      <alignment vertical="center"/>
    </xf>
    <xf numFmtId="3" fontId="41" fillId="4" borderId="14" xfId="0" applyNumberFormat="1" applyFont="1" applyFill="1" applyBorder="1" applyAlignment="1" applyProtection="1">
      <alignment vertical="center"/>
    </xf>
    <xf numFmtId="193" fontId="41" fillId="4" borderId="14" xfId="5" applyNumberFormat="1" applyFont="1" applyFill="1" applyBorder="1" applyAlignment="1" applyProtection="1">
      <alignment vertical="center"/>
    </xf>
    <xf numFmtId="49" fontId="47" fillId="4" borderId="2" xfId="0" applyNumberFormat="1" applyFont="1" applyFill="1" applyBorder="1" applyAlignment="1" applyProtection="1">
      <alignment horizontal="left" vertical="center"/>
    </xf>
    <xf numFmtId="0" fontId="40" fillId="4" borderId="36" xfId="0" applyFont="1" applyFill="1" applyBorder="1" applyAlignment="1" applyProtection="1">
      <alignment vertical="center"/>
    </xf>
    <xf numFmtId="3" fontId="40" fillId="4" borderId="13" xfId="0" applyNumberFormat="1" applyFont="1" applyFill="1" applyBorder="1" applyAlignment="1" applyProtection="1">
      <alignment vertical="center"/>
    </xf>
    <xf numFmtId="3" fontId="40" fillId="4" borderId="14" xfId="0" applyNumberFormat="1" applyFont="1" applyFill="1" applyBorder="1" applyAlignment="1" applyProtection="1">
      <alignment vertical="center"/>
    </xf>
    <xf numFmtId="3" fontId="40" fillId="8" borderId="13" xfId="0" applyNumberFormat="1" applyFont="1" applyFill="1" applyBorder="1" applyAlignment="1" applyProtection="1">
      <alignment vertical="center"/>
    </xf>
    <xf numFmtId="193" fontId="40" fillId="4" borderId="14" xfId="5" applyNumberFormat="1" applyFont="1" applyFill="1" applyBorder="1" applyAlignment="1" applyProtection="1">
      <alignment vertical="center"/>
    </xf>
    <xf numFmtId="3" fontId="40" fillId="4" borderId="13" xfId="0" applyNumberFormat="1" applyFont="1" applyFill="1" applyBorder="1" applyAlignment="1" applyProtection="1">
      <alignment vertical="center"/>
      <protection locked="0"/>
    </xf>
    <xf numFmtId="3" fontId="40" fillId="4" borderId="14" xfId="0" applyNumberFormat="1" applyFont="1" applyFill="1" applyBorder="1" applyAlignment="1" applyProtection="1">
      <alignment vertical="center"/>
      <protection locked="0"/>
    </xf>
    <xf numFmtId="3" fontId="40" fillId="8" borderId="14" xfId="0" applyNumberFormat="1" applyFont="1" applyFill="1" applyBorder="1" applyAlignment="1" applyProtection="1">
      <alignment vertical="center"/>
      <protection locked="0"/>
    </xf>
    <xf numFmtId="0" fontId="41" fillId="4" borderId="34" xfId="0" applyFont="1" applyFill="1" applyBorder="1" applyAlignment="1" applyProtection="1">
      <alignment vertical="center"/>
    </xf>
    <xf numFmtId="3" fontId="41" fillId="4" borderId="35" xfId="0" applyNumberFormat="1" applyFont="1" applyFill="1" applyBorder="1" applyAlignment="1" applyProtection="1">
      <alignment vertical="center"/>
      <protection locked="0"/>
    </xf>
    <xf numFmtId="3" fontId="41" fillId="4" borderId="22" xfId="0" applyNumberFormat="1" applyFont="1" applyFill="1" applyBorder="1" applyAlignment="1" applyProtection="1">
      <alignment vertical="center"/>
      <protection locked="0"/>
    </xf>
    <xf numFmtId="3" fontId="41" fillId="8" borderId="22" xfId="0" applyNumberFormat="1" applyFont="1" applyFill="1" applyBorder="1" applyAlignment="1" applyProtection="1">
      <alignment vertical="center"/>
      <protection locked="0"/>
    </xf>
    <xf numFmtId="193" fontId="41" fillId="4" borderId="14" xfId="5" applyNumberFormat="1" applyFont="1" applyFill="1" applyBorder="1" applyAlignment="1" applyProtection="1">
      <alignment vertical="center"/>
      <protection locked="0"/>
    </xf>
    <xf numFmtId="3" fontId="41" fillId="4" borderId="35" xfId="0" applyNumberFormat="1" applyFont="1" applyFill="1" applyBorder="1" applyAlignment="1" applyProtection="1">
      <alignment vertical="center"/>
    </xf>
    <xf numFmtId="3" fontId="41" fillId="8" borderId="35" xfId="0" applyNumberFormat="1" applyFont="1" applyFill="1" applyBorder="1" applyAlignment="1" applyProtection="1">
      <alignment vertical="center"/>
    </xf>
    <xf numFmtId="49" fontId="48" fillId="4" borderId="11" xfId="0" applyNumberFormat="1" applyFont="1" applyFill="1" applyBorder="1" applyAlignment="1" applyProtection="1">
      <alignment horizontal="left" vertical="center"/>
    </xf>
    <xf numFmtId="0" fontId="40" fillId="4" borderId="34" xfId="0" applyFont="1" applyFill="1" applyBorder="1" applyAlignment="1" applyProtection="1">
      <alignment vertical="center"/>
    </xf>
    <xf numFmtId="3" fontId="40" fillId="4" borderId="35" xfId="0" applyNumberFormat="1" applyFont="1" applyFill="1" applyBorder="1" applyAlignment="1" applyProtection="1">
      <alignment vertical="center"/>
    </xf>
    <xf numFmtId="3" fontId="40" fillId="8" borderId="35" xfId="0" applyNumberFormat="1" applyFont="1" applyFill="1" applyBorder="1" applyAlignment="1" applyProtection="1">
      <alignment vertical="center"/>
    </xf>
    <xf numFmtId="49" fontId="48" fillId="4" borderId="2" xfId="0" applyNumberFormat="1" applyFont="1" applyFill="1" applyBorder="1" applyAlignment="1" applyProtection="1">
      <alignment horizontal="left" vertical="center"/>
    </xf>
    <xf numFmtId="0" fontId="47" fillId="4" borderId="11" xfId="0" applyNumberFormat="1" applyFont="1" applyFill="1" applyBorder="1" applyAlignment="1" applyProtection="1">
      <alignment horizontal="left" vertical="center"/>
    </xf>
    <xf numFmtId="49" fontId="47" fillId="4" borderId="58" xfId="0" applyNumberFormat="1" applyFont="1" applyFill="1" applyBorder="1" applyAlignment="1" applyProtection="1">
      <alignment horizontal="left" vertical="center"/>
    </xf>
    <xf numFmtId="0" fontId="41" fillId="4" borderId="58" xfId="0" applyFont="1" applyFill="1" applyBorder="1" applyAlignment="1">
      <alignment vertical="center"/>
    </xf>
    <xf numFmtId="0" fontId="47" fillId="4" borderId="58" xfId="0" applyFont="1" applyFill="1" applyBorder="1" applyAlignment="1" applyProtection="1">
      <alignment vertical="center"/>
    </xf>
    <xf numFmtId="0" fontId="41" fillId="4" borderId="8" xfId="0" applyFont="1" applyFill="1" applyBorder="1" applyAlignment="1">
      <alignment vertical="center"/>
    </xf>
    <xf numFmtId="0" fontId="41" fillId="4" borderId="16" xfId="0" applyFont="1" applyFill="1" applyBorder="1" applyAlignment="1" applyProtection="1">
      <alignment vertical="center"/>
    </xf>
    <xf numFmtId="3" fontId="41" fillId="4" borderId="18" xfId="0" applyNumberFormat="1" applyFont="1" applyFill="1" applyBorder="1" applyAlignment="1" applyProtection="1">
      <alignment vertical="center"/>
    </xf>
    <xf numFmtId="193" fontId="41" fillId="4" borderId="18" xfId="5" applyNumberFormat="1" applyFont="1" applyFill="1" applyBorder="1" applyAlignment="1" applyProtection="1">
      <alignment vertical="center"/>
    </xf>
    <xf numFmtId="3" fontId="41" fillId="8" borderId="10" xfId="0" applyNumberFormat="1" applyFont="1" applyFill="1" applyBorder="1" applyAlignment="1">
      <alignment vertical="center"/>
    </xf>
    <xf numFmtId="0" fontId="41" fillId="10" borderId="65" xfId="0" applyFont="1" applyFill="1" applyBorder="1" applyAlignment="1" applyProtection="1">
      <alignment vertical="center"/>
    </xf>
    <xf numFmtId="3" fontId="41" fillId="10" borderId="38" xfId="0" applyNumberFormat="1" applyFont="1" applyFill="1" applyBorder="1" applyAlignment="1" applyProtection="1">
      <alignment vertical="center"/>
      <protection locked="0"/>
    </xf>
    <xf numFmtId="3" fontId="41" fillId="10" borderId="30" xfId="0" applyNumberFormat="1" applyFont="1" applyFill="1" applyBorder="1" applyAlignment="1" applyProtection="1">
      <alignment vertical="center"/>
      <protection locked="0"/>
    </xf>
    <xf numFmtId="3" fontId="41" fillId="8" borderId="2" xfId="0" applyNumberFormat="1" applyFont="1" applyFill="1" applyBorder="1" applyAlignment="1">
      <alignment vertical="center"/>
    </xf>
    <xf numFmtId="0" fontId="41" fillId="10" borderId="53" xfId="0" applyFont="1" applyFill="1" applyBorder="1" applyAlignment="1" applyProtection="1">
      <alignment vertical="center"/>
    </xf>
    <xf numFmtId="3" fontId="41" fillId="10" borderId="13" xfId="0" applyNumberFormat="1" applyFont="1" applyFill="1" applyBorder="1" applyAlignment="1" applyProtection="1">
      <alignment vertical="center"/>
      <protection locked="0"/>
    </xf>
    <xf numFmtId="3" fontId="41" fillId="10" borderId="14" xfId="0" applyNumberFormat="1" applyFont="1" applyFill="1" applyBorder="1" applyAlignment="1" applyProtection="1">
      <alignment vertical="center"/>
      <protection locked="0"/>
    </xf>
    <xf numFmtId="3" fontId="41" fillId="10" borderId="13" xfId="0" applyNumberFormat="1" applyFont="1" applyFill="1" applyBorder="1" applyAlignment="1" applyProtection="1">
      <alignment vertical="center"/>
    </xf>
    <xf numFmtId="3" fontId="41" fillId="10" borderId="14" xfId="0" applyNumberFormat="1" applyFont="1" applyFill="1" applyBorder="1" applyAlignment="1" applyProtection="1">
      <alignment vertical="center"/>
    </xf>
    <xf numFmtId="193" fontId="40" fillId="10" borderId="14" xfId="5" applyNumberFormat="1" applyFont="1" applyFill="1" applyBorder="1" applyAlignment="1" applyProtection="1">
      <alignment vertical="center"/>
    </xf>
    <xf numFmtId="0" fontId="41" fillId="8" borderId="58" xfId="0" applyFont="1" applyFill="1" applyBorder="1" applyAlignment="1">
      <alignment horizontal="left" vertical="center"/>
    </xf>
    <xf numFmtId="0" fontId="40" fillId="10" borderId="53" xfId="0" applyFont="1" applyFill="1" applyBorder="1" applyAlignment="1" applyProtection="1">
      <alignment vertical="center"/>
    </xf>
    <xf numFmtId="3" fontId="40" fillId="10" borderId="13" xfId="0" applyNumberFormat="1" applyFont="1" applyFill="1" applyBorder="1" applyAlignment="1" applyProtection="1">
      <alignment vertical="center"/>
    </xf>
    <xf numFmtId="3" fontId="40" fillId="10" borderId="14" xfId="0" applyNumberFormat="1" applyFont="1" applyFill="1" applyBorder="1" applyAlignment="1" applyProtection="1">
      <alignment vertical="center"/>
    </xf>
    <xf numFmtId="3" fontId="41" fillId="8" borderId="58" xfId="0" applyNumberFormat="1" applyFont="1" applyFill="1" applyBorder="1" applyAlignment="1">
      <alignment vertical="center"/>
    </xf>
    <xf numFmtId="3" fontId="41" fillId="8" borderId="13" xfId="0" applyNumberFormat="1" applyFont="1" applyFill="1" applyBorder="1" applyAlignment="1" applyProtection="1">
      <alignment vertical="center"/>
    </xf>
    <xf numFmtId="49" fontId="40" fillId="8" borderId="58" xfId="0" applyNumberFormat="1" applyFont="1" applyFill="1" applyBorder="1" applyAlignment="1" applyProtection="1">
      <alignment horizontal="left" vertical="center"/>
    </xf>
    <xf numFmtId="0" fontId="40" fillId="8" borderId="58" xfId="0" applyNumberFormat="1" applyFont="1" applyFill="1" applyBorder="1" applyAlignment="1" applyProtection="1">
      <alignment horizontal="left" vertical="center"/>
    </xf>
    <xf numFmtId="49" fontId="41" fillId="8" borderId="58" xfId="0" applyNumberFormat="1" applyFont="1" applyFill="1" applyBorder="1" applyAlignment="1" applyProtection="1">
      <alignment horizontal="left" vertical="center"/>
    </xf>
    <xf numFmtId="0" fontId="41" fillId="8" borderId="58" xfId="0" applyNumberFormat="1" applyFont="1" applyFill="1" applyBorder="1" applyAlignment="1" applyProtection="1">
      <alignment horizontal="left" vertical="center"/>
    </xf>
    <xf numFmtId="49" fontId="47" fillId="8" borderId="58" xfId="0" applyNumberFormat="1" applyFont="1" applyFill="1" applyBorder="1" applyAlignment="1" applyProtection="1">
      <alignment horizontal="left" vertical="center"/>
    </xf>
    <xf numFmtId="0" fontId="47" fillId="8" borderId="58" xfId="0" applyNumberFormat="1" applyFont="1" applyFill="1" applyBorder="1" applyAlignment="1" applyProtection="1">
      <alignment horizontal="left" vertical="center"/>
    </xf>
    <xf numFmtId="193" fontId="41" fillId="10" borderId="14" xfId="5" applyNumberFormat="1" applyFont="1" applyFill="1" applyBorder="1" applyAlignment="1" applyProtection="1">
      <alignment vertical="center"/>
    </xf>
    <xf numFmtId="0" fontId="41" fillId="8" borderId="58" xfId="0" applyFont="1" applyFill="1" applyBorder="1" applyAlignment="1">
      <alignment vertical="center"/>
    </xf>
    <xf numFmtId="0" fontId="40" fillId="10" borderId="36" xfId="0" applyFont="1" applyFill="1" applyBorder="1" applyAlignment="1" applyProtection="1">
      <alignment vertical="center"/>
    </xf>
    <xf numFmtId="3" fontId="40" fillId="10" borderId="13" xfId="0" applyNumberFormat="1" applyFont="1" applyFill="1" applyBorder="1" applyAlignment="1" applyProtection="1">
      <alignment vertical="center"/>
      <protection locked="0"/>
    </xf>
    <xf numFmtId="3" fontId="40" fillId="10" borderId="14" xfId="0" applyNumberFormat="1" applyFont="1" applyFill="1" applyBorder="1" applyAlignment="1" applyProtection="1">
      <alignment vertical="center"/>
      <protection locked="0"/>
    </xf>
    <xf numFmtId="3" fontId="41" fillId="8" borderId="8" xfId="0" applyNumberFormat="1" applyFont="1" applyFill="1" applyBorder="1" applyAlignment="1">
      <alignment vertical="center"/>
    </xf>
    <xf numFmtId="0" fontId="41" fillId="10" borderId="54" xfId="0" applyFont="1" applyFill="1" applyBorder="1" applyAlignment="1" applyProtection="1">
      <alignment vertical="center"/>
    </xf>
    <xf numFmtId="3" fontId="41" fillId="10" borderId="17" xfId="0" applyNumberFormat="1" applyFont="1" applyFill="1" applyBorder="1" applyAlignment="1" applyProtection="1">
      <alignment vertical="center"/>
    </xf>
    <xf numFmtId="3" fontId="41" fillId="10" borderId="18" xfId="0" applyNumberFormat="1" applyFont="1" applyFill="1" applyBorder="1" applyAlignment="1" applyProtection="1">
      <alignment vertical="center"/>
    </xf>
    <xf numFmtId="193" fontId="41" fillId="10" borderId="18" xfId="5" applyNumberFormat="1" applyFont="1" applyFill="1" applyBorder="1" applyAlignment="1" applyProtection="1">
      <alignment vertical="center"/>
    </xf>
    <xf numFmtId="0" fontId="41" fillId="11" borderId="59" xfId="0" applyFont="1" applyFill="1" applyBorder="1" applyAlignment="1">
      <alignment vertical="center"/>
    </xf>
    <xf numFmtId="0" fontId="41" fillId="12" borderId="37" xfId="0" applyFont="1" applyFill="1" applyBorder="1" applyAlignment="1" applyProtection="1">
      <alignment vertical="center"/>
    </xf>
    <xf numFmtId="3" fontId="41" fillId="12" borderId="38" xfId="0" applyNumberFormat="1" applyFont="1" applyFill="1" applyBorder="1" applyAlignment="1" applyProtection="1">
      <alignment vertical="center"/>
      <protection locked="0"/>
    </xf>
    <xf numFmtId="3" fontId="41" fillId="12" borderId="30" xfId="0" applyNumberFormat="1" applyFont="1" applyFill="1" applyBorder="1" applyAlignment="1" applyProtection="1">
      <alignment vertical="center"/>
      <protection locked="0"/>
    </xf>
    <xf numFmtId="193" fontId="40" fillId="12" borderId="30" xfId="5" applyNumberFormat="1" applyFont="1" applyFill="1" applyBorder="1" applyAlignment="1" applyProtection="1">
      <alignment vertical="center"/>
      <protection locked="0"/>
    </xf>
    <xf numFmtId="0" fontId="41" fillId="11" borderId="58" xfId="0" applyFont="1" applyFill="1" applyBorder="1" applyAlignment="1">
      <alignment vertical="center"/>
    </xf>
    <xf numFmtId="0" fontId="41" fillId="12" borderId="2" xfId="0" applyFont="1" applyFill="1" applyBorder="1" applyAlignment="1" applyProtection="1">
      <alignment vertical="center"/>
    </xf>
    <xf numFmtId="3" fontId="41" fillId="12" borderId="13" xfId="0" applyNumberFormat="1" applyFont="1" applyFill="1" applyBorder="1" applyAlignment="1" applyProtection="1">
      <alignment vertical="center"/>
    </xf>
    <xf numFmtId="3" fontId="41" fillId="12" borderId="14" xfId="0" applyNumberFormat="1" applyFont="1" applyFill="1" applyBorder="1" applyAlignment="1" applyProtection="1">
      <alignment vertical="center"/>
    </xf>
    <xf numFmtId="193" fontId="41" fillId="12" borderId="14" xfId="5" applyNumberFormat="1" applyFont="1" applyFill="1" applyBorder="1" applyAlignment="1" applyProtection="1">
      <alignment vertical="center"/>
    </xf>
    <xf numFmtId="3" fontId="41" fillId="11" borderId="58" xfId="0" applyNumberFormat="1" applyFont="1" applyFill="1" applyBorder="1" applyAlignment="1">
      <alignment vertical="center"/>
    </xf>
    <xf numFmtId="0" fontId="40" fillId="12" borderId="36" xfId="0" applyFont="1" applyFill="1" applyBorder="1" applyAlignment="1" applyProtection="1">
      <alignment vertical="center"/>
    </xf>
    <xf numFmtId="3" fontId="40" fillId="12" borderId="13" xfId="0" applyNumberFormat="1" applyFont="1" applyFill="1" applyBorder="1" applyAlignment="1" applyProtection="1">
      <alignment vertical="center"/>
    </xf>
    <xf numFmtId="3" fontId="40" fillId="12" borderId="14" xfId="0" applyNumberFormat="1" applyFont="1" applyFill="1" applyBorder="1" applyAlignment="1" applyProtection="1">
      <alignment vertical="center"/>
    </xf>
    <xf numFmtId="193" fontId="40" fillId="12" borderId="14" xfId="5" applyNumberFormat="1" applyFont="1" applyFill="1" applyBorder="1" applyAlignment="1" applyProtection="1">
      <alignment vertical="center"/>
    </xf>
    <xf numFmtId="49" fontId="47" fillId="11" borderId="58" xfId="0" applyNumberFormat="1" applyFont="1" applyFill="1" applyBorder="1" applyAlignment="1" applyProtection="1">
      <alignment horizontal="left" vertical="center"/>
    </xf>
    <xf numFmtId="0" fontId="41" fillId="12" borderId="36" xfId="0" applyFont="1" applyFill="1" applyBorder="1" applyAlignment="1" applyProtection="1">
      <alignment vertical="center"/>
    </xf>
    <xf numFmtId="0" fontId="41" fillId="13" borderId="3" xfId="0" applyFont="1" applyFill="1" applyBorder="1" applyAlignment="1">
      <alignment vertical="center"/>
    </xf>
    <xf numFmtId="0" fontId="41" fillId="13" borderId="16" xfId="0" applyFont="1" applyFill="1" applyBorder="1" applyAlignment="1" applyProtection="1">
      <alignment vertical="center"/>
    </xf>
    <xf numFmtId="3" fontId="41" fillId="13" borderId="17" xfId="0" applyNumberFormat="1" applyFont="1" applyFill="1" applyBorder="1" applyAlignment="1" applyProtection="1">
      <alignment vertical="center"/>
    </xf>
    <xf numFmtId="3" fontId="41" fillId="13" borderId="18" xfId="0" applyNumberFormat="1" applyFont="1" applyFill="1" applyBorder="1" applyAlignment="1" applyProtection="1">
      <alignment vertical="center"/>
    </xf>
    <xf numFmtId="193" fontId="41" fillId="13" borderId="18" xfId="5" applyNumberFormat="1" applyFont="1" applyFill="1" applyBorder="1" applyAlignment="1" applyProtection="1">
      <alignment vertical="center"/>
    </xf>
    <xf numFmtId="0" fontId="41" fillId="4" borderId="3" xfId="0" applyFont="1" applyFill="1" applyBorder="1" applyAlignment="1">
      <alignment vertical="center"/>
    </xf>
    <xf numFmtId="3" fontId="41" fillId="4" borderId="17" xfId="0" applyNumberFormat="1" applyFont="1" applyFill="1" applyBorder="1" applyAlignment="1" applyProtection="1">
      <alignment vertical="center"/>
    </xf>
    <xf numFmtId="0" fontId="38" fillId="5" borderId="0" xfId="0" applyFont="1" applyFill="1" applyAlignment="1" applyProtection="1">
      <alignment vertical="center"/>
    </xf>
    <xf numFmtId="0" fontId="41" fillId="0" borderId="58" xfId="0" applyFont="1" applyFill="1" applyBorder="1" applyAlignment="1" applyProtection="1">
      <alignment horizontal="left"/>
    </xf>
    <xf numFmtId="3" fontId="41" fillId="0" borderId="41" xfId="0" applyNumberFormat="1" applyFont="1" applyFill="1" applyBorder="1" applyProtection="1"/>
    <xf numFmtId="0" fontId="49" fillId="2" borderId="2" xfId="0" applyFont="1" applyFill="1" applyBorder="1" applyAlignment="1" applyProtection="1">
      <alignment horizontal="left" vertical="center"/>
    </xf>
    <xf numFmtId="49" fontId="49" fillId="2" borderId="2" xfId="0" applyNumberFormat="1" applyFont="1" applyFill="1" applyBorder="1" applyAlignment="1" applyProtection="1">
      <alignment horizontal="left" vertical="center"/>
    </xf>
    <xf numFmtId="0" fontId="41" fillId="0" borderId="0" xfId="0" applyFont="1" applyFill="1" applyAlignment="1" applyProtection="1">
      <alignment vertical="center"/>
    </xf>
    <xf numFmtId="3" fontId="40" fillId="0" borderId="0" xfId="0" applyNumberFormat="1" applyFont="1" applyFill="1" applyBorder="1" applyAlignment="1" applyProtection="1">
      <alignment vertical="center"/>
    </xf>
    <xf numFmtId="3" fontId="40" fillId="0" borderId="0" xfId="0" applyNumberFormat="1" applyFont="1" applyFill="1" applyAlignment="1" applyProtection="1">
      <alignment vertical="center"/>
    </xf>
    <xf numFmtId="3" fontId="40" fillId="0" borderId="0" xfId="0" applyNumberFormat="1" applyFont="1" applyFill="1" applyBorder="1" applyProtection="1"/>
    <xf numFmtId="9" fontId="7" fillId="0" borderId="56" xfId="5" applyFont="1" applyBorder="1" applyProtection="1"/>
    <xf numFmtId="0" fontId="18" fillId="2" borderId="33" xfId="0" applyFont="1" applyFill="1" applyBorder="1" applyAlignment="1" applyProtection="1">
      <alignment horizontal="left" vertical="center"/>
    </xf>
    <xf numFmtId="0" fontId="0" fillId="5" borderId="0" xfId="0" applyFill="1" applyAlignment="1" applyProtection="1">
      <alignment horizontal="left" vertical="center"/>
    </xf>
    <xf numFmtId="3" fontId="7" fillId="5" borderId="13" xfId="0" applyNumberFormat="1" applyFont="1" applyFill="1" applyBorder="1" applyAlignment="1" applyProtection="1">
      <alignment vertical="center"/>
      <protection locked="0"/>
    </xf>
    <xf numFmtId="3" fontId="41" fillId="0" borderId="10" xfId="0" applyNumberFormat="1" applyFont="1" applyFill="1" applyBorder="1" applyAlignment="1" applyProtection="1">
      <alignment horizontal="right"/>
    </xf>
    <xf numFmtId="3" fontId="41" fillId="0" borderId="2" xfId="0" applyNumberFormat="1" applyFont="1" applyFill="1" applyBorder="1" applyAlignment="1" applyProtection="1">
      <alignment horizontal="right"/>
    </xf>
    <xf numFmtId="3" fontId="41" fillId="0" borderId="3" xfId="0" applyNumberFormat="1" applyFont="1" applyFill="1" applyBorder="1" applyAlignment="1" applyProtection="1">
      <alignment horizontal="right"/>
    </xf>
    <xf numFmtId="14" fontId="40" fillId="0" borderId="9" xfId="0" applyNumberFormat="1" applyFont="1" applyFill="1" applyBorder="1" applyProtection="1"/>
    <xf numFmtId="14" fontId="40" fillId="0" borderId="3" xfId="0" applyNumberFormat="1" applyFont="1" applyFill="1" applyBorder="1" applyProtection="1"/>
    <xf numFmtId="0" fontId="0" fillId="5" borderId="26" xfId="0" applyFill="1" applyBorder="1" applyAlignment="1" applyProtection="1">
      <alignment vertical="center"/>
    </xf>
    <xf numFmtId="49" fontId="0" fillId="0" borderId="0" xfId="0" applyNumberFormat="1" applyFill="1" applyProtection="1">
      <protection locked="0"/>
    </xf>
    <xf numFmtId="0" fontId="7" fillId="5" borderId="3" xfId="0" applyFont="1" applyFill="1" applyBorder="1" applyAlignment="1" applyProtection="1">
      <alignment horizontal="center" wrapText="1"/>
    </xf>
    <xf numFmtId="3" fontId="41" fillId="0" borderId="69" xfId="0" applyNumberFormat="1" applyFont="1" applyFill="1" applyBorder="1" applyProtection="1"/>
    <xf numFmtId="3" fontId="7" fillId="0" borderId="2" xfId="0" applyNumberFormat="1" applyFont="1" applyFill="1" applyBorder="1" applyProtection="1">
      <protection locked="0"/>
    </xf>
    <xf numFmtId="0" fontId="0" fillId="6" borderId="22" xfId="0" applyFill="1" applyBorder="1" applyAlignment="1" applyProtection="1">
      <alignment horizontal="center" vertical="center"/>
      <protection locked="0"/>
    </xf>
    <xf numFmtId="0" fontId="4" fillId="8" borderId="36" xfId="0" applyFont="1" applyFill="1" applyBorder="1" applyAlignment="1" applyProtection="1">
      <alignment horizontal="left" vertical="center" indent="6"/>
    </xf>
    <xf numFmtId="9" fontId="0" fillId="0" borderId="0" xfId="5" applyFont="1"/>
    <xf numFmtId="193" fontId="0" fillId="0" borderId="0" xfId="5" applyNumberFormat="1" applyFont="1"/>
    <xf numFmtId="0" fontId="16" fillId="6" borderId="0" xfId="0" applyFont="1" applyFill="1" applyProtection="1"/>
    <xf numFmtId="193" fontId="16" fillId="6" borderId="0" xfId="5" applyNumberFormat="1" applyFont="1" applyFill="1" applyProtection="1"/>
    <xf numFmtId="9" fontId="16" fillId="0" borderId="0" xfId="5" applyNumberFormat="1" applyFont="1" applyFill="1" applyProtection="1"/>
    <xf numFmtId="3" fontId="41" fillId="6" borderId="9" xfId="0" applyNumberFormat="1" applyFont="1" applyFill="1" applyBorder="1" applyAlignment="1" applyProtection="1">
      <alignment horizontal="right"/>
    </xf>
    <xf numFmtId="3" fontId="40" fillId="0" borderId="41" xfId="0" applyNumberFormat="1" applyFont="1" applyFill="1" applyBorder="1" applyProtection="1"/>
    <xf numFmtId="0" fontId="15" fillId="0" borderId="0" xfId="0" applyFont="1" applyProtection="1"/>
    <xf numFmtId="0" fontId="15" fillId="6" borderId="0" xfId="0" applyFont="1" applyFill="1" applyProtection="1"/>
    <xf numFmtId="9" fontId="0" fillId="0" borderId="2" xfId="5" applyFont="1" applyFill="1" applyBorder="1" applyProtection="1">
      <protection locked="0"/>
    </xf>
    <xf numFmtId="0" fontId="33" fillId="6" borderId="0" xfId="0" applyFont="1" applyFill="1" applyAlignment="1" applyProtection="1">
      <alignment horizontal="center"/>
    </xf>
    <xf numFmtId="0" fontId="0" fillId="6" borderId="0" xfId="0" applyFill="1" applyProtection="1"/>
    <xf numFmtId="193" fontId="0" fillId="6" borderId="0" xfId="5" applyNumberFormat="1" applyFont="1" applyFill="1" applyProtection="1"/>
    <xf numFmtId="9" fontId="0" fillId="6" borderId="0" xfId="5" applyFont="1" applyFill="1" applyProtection="1"/>
    <xf numFmtId="3" fontId="12" fillId="2" borderId="3" xfId="0" applyNumberFormat="1" applyFont="1" applyFill="1" applyBorder="1" applyAlignment="1" applyProtection="1">
      <alignment horizontal="centerContinuous" vertical="top" wrapText="1"/>
    </xf>
    <xf numFmtId="199" fontId="15" fillId="2" borderId="0" xfId="0" applyNumberFormat="1" applyFont="1" applyFill="1" applyProtection="1"/>
    <xf numFmtId="199" fontId="12" fillId="2" borderId="11" xfId="0" applyNumberFormat="1" applyFont="1" applyFill="1" applyBorder="1" applyAlignment="1" applyProtection="1">
      <alignment horizontal="left"/>
    </xf>
    <xf numFmtId="200" fontId="12" fillId="2" borderId="2" xfId="0" applyNumberFormat="1" applyFont="1" applyFill="1" applyBorder="1" applyAlignment="1" applyProtection="1">
      <alignment horizontal="left"/>
    </xf>
    <xf numFmtId="0" fontId="15" fillId="6" borderId="9" xfId="0" applyFont="1" applyFill="1" applyBorder="1" applyAlignment="1" applyProtection="1">
      <alignment horizontal="center"/>
      <protection locked="0"/>
    </xf>
    <xf numFmtId="201" fontId="12" fillId="2" borderId="2" xfId="0" applyNumberFormat="1" applyFont="1" applyFill="1" applyBorder="1" applyAlignment="1" applyProtection="1">
      <alignment horizontal="left"/>
      <protection locked="0"/>
    </xf>
    <xf numFmtId="193" fontId="16" fillId="0" borderId="0" xfId="5" applyNumberFormat="1" applyFont="1" applyFill="1" applyBorder="1" applyProtection="1"/>
    <xf numFmtId="1" fontId="16" fillId="0" borderId="0" xfId="0" applyNumberFormat="1" applyFont="1" applyFill="1" applyProtection="1"/>
    <xf numFmtId="193" fontId="16" fillId="0" borderId="0" xfId="5" applyNumberFormat="1" applyFont="1" applyFill="1" applyProtection="1"/>
    <xf numFmtId="198" fontId="16" fillId="0" borderId="0" xfId="0" applyNumberFormat="1" applyFont="1" applyFill="1" applyProtection="1"/>
    <xf numFmtId="9" fontId="0" fillId="0" borderId="0" xfId="0" applyNumberFormat="1" applyFill="1" applyProtection="1"/>
    <xf numFmtId="3" fontId="4" fillId="5" borderId="13" xfId="0" applyNumberFormat="1" applyFont="1" applyFill="1" applyBorder="1" applyAlignment="1" applyProtection="1">
      <alignment vertical="center"/>
    </xf>
    <xf numFmtId="0" fontId="18" fillId="0" borderId="40" xfId="0" applyFont="1" applyFill="1" applyBorder="1" applyAlignment="1" applyProtection="1">
      <alignment horizontal="centerContinuous" vertical="center" wrapText="1"/>
      <protection locked="0"/>
    </xf>
    <xf numFmtId="0" fontId="8" fillId="0" borderId="3" xfId="0" applyFont="1" applyFill="1" applyBorder="1" applyAlignment="1" applyProtection="1">
      <alignment horizontal="left"/>
    </xf>
    <xf numFmtId="0" fontId="7" fillId="5" borderId="58" xfId="0" applyFont="1" applyFill="1" applyBorder="1" applyAlignment="1" applyProtection="1">
      <alignment horizontal="center"/>
    </xf>
    <xf numFmtId="0" fontId="7" fillId="5" borderId="8" xfId="0" applyFont="1" applyFill="1" applyBorder="1" applyAlignment="1" applyProtection="1">
      <alignment horizontal="center"/>
    </xf>
    <xf numFmtId="0" fontId="7" fillId="5" borderId="59" xfId="0" applyFont="1" applyFill="1" applyBorder="1" applyAlignment="1" applyProtection="1">
      <alignment horizontal="center"/>
    </xf>
    <xf numFmtId="0" fontId="0" fillId="0" borderId="10" xfId="0" applyBorder="1" applyProtection="1"/>
    <xf numFmtId="9" fontId="7" fillId="0" borderId="10" xfId="5" applyFont="1" applyFill="1" applyBorder="1" applyAlignment="1" applyProtection="1">
      <alignment horizontal="centerContinuous" vertical="center" wrapText="1"/>
    </xf>
    <xf numFmtId="0" fontId="0" fillId="0" borderId="2" xfId="0" applyBorder="1" applyProtection="1"/>
    <xf numFmtId="3" fontId="7" fillId="0" borderId="2" xfId="0" applyNumberFormat="1" applyFont="1" applyBorder="1" applyProtection="1"/>
    <xf numFmtId="3" fontId="0" fillId="0" borderId="2" xfId="0" applyNumberFormat="1" applyBorder="1" applyProtection="1"/>
    <xf numFmtId="0" fontId="0" fillId="14" borderId="2" xfId="0" applyFill="1" applyBorder="1" applyProtection="1"/>
    <xf numFmtId="0" fontId="0" fillId="15" borderId="2" xfId="0" applyFill="1" applyBorder="1" applyProtection="1"/>
    <xf numFmtId="0" fontId="0" fillId="13" borderId="2" xfId="0" applyFill="1" applyBorder="1" applyProtection="1"/>
    <xf numFmtId="0" fontId="0" fillId="16" borderId="2" xfId="0" applyFill="1" applyBorder="1" applyProtection="1"/>
    <xf numFmtId="0" fontId="0" fillId="17" borderId="2" xfId="0" applyFill="1" applyBorder="1" applyProtection="1"/>
    <xf numFmtId="0" fontId="0" fillId="18" borderId="2" xfId="0" applyFill="1" applyBorder="1" applyProtection="1"/>
    <xf numFmtId="0" fontId="0" fillId="4" borderId="2" xfId="0" applyFill="1" applyBorder="1" applyProtection="1"/>
    <xf numFmtId="0" fontId="0" fillId="2" borderId="2" xfId="0" applyFill="1" applyBorder="1" applyProtection="1"/>
    <xf numFmtId="0" fontId="0" fillId="19" borderId="2" xfId="0" applyFill="1" applyBorder="1" applyProtection="1"/>
    <xf numFmtId="0" fontId="0" fillId="20" borderId="2" xfId="0" applyFill="1" applyBorder="1" applyProtection="1"/>
    <xf numFmtId="0" fontId="0" fillId="12" borderId="2" xfId="0" applyFill="1" applyBorder="1" applyProtection="1"/>
    <xf numFmtId="0" fontId="0" fillId="21" borderId="2" xfId="0" applyFill="1" applyBorder="1" applyProtection="1"/>
    <xf numFmtId="0" fontId="0" fillId="22" borderId="2" xfId="0" applyFill="1" applyBorder="1" applyProtection="1"/>
    <xf numFmtId="0" fontId="0" fillId="8" borderId="2" xfId="0" applyFill="1" applyBorder="1" applyProtection="1"/>
    <xf numFmtId="0" fontId="0" fillId="23" borderId="2" xfId="0" applyFill="1" applyBorder="1" applyProtection="1"/>
    <xf numFmtId="0" fontId="0" fillId="6" borderId="2" xfId="0" applyFill="1" applyBorder="1" applyProtection="1"/>
    <xf numFmtId="0" fontId="0" fillId="0" borderId="3" xfId="0" applyBorder="1" applyProtection="1"/>
    <xf numFmtId="0" fontId="5" fillId="0" borderId="3" xfId="0" applyFont="1" applyBorder="1" applyAlignment="1" applyProtection="1">
      <alignment horizontal="left"/>
    </xf>
    <xf numFmtId="3" fontId="0" fillId="0" borderId="3" xfId="0" applyNumberFormat="1" applyFill="1" applyBorder="1" applyProtection="1"/>
    <xf numFmtId="3" fontId="4" fillId="0" borderId="3" xfId="0" applyNumberFormat="1" applyFont="1" applyFill="1" applyBorder="1" applyProtection="1">
      <protection locked="0"/>
    </xf>
    <xf numFmtId="3" fontId="7" fillId="0" borderId="3" xfId="0" applyNumberFormat="1" applyFont="1" applyFill="1" applyBorder="1" applyProtection="1">
      <protection locked="0"/>
    </xf>
    <xf numFmtId="9" fontId="0" fillId="0" borderId="3" xfId="5" applyFont="1" applyFill="1" applyBorder="1" applyProtection="1"/>
    <xf numFmtId="9" fontId="7" fillId="0" borderId="9" xfId="5" applyFont="1" applyFill="1" applyBorder="1" applyAlignment="1" applyProtection="1">
      <alignment horizontal="centerContinuous" vertical="center" wrapText="1"/>
    </xf>
    <xf numFmtId="0" fontId="7" fillId="0" borderId="10" xfId="0" applyNumberFormat="1" applyFont="1" applyBorder="1" applyAlignment="1" applyProtection="1">
      <alignment horizontal="left"/>
    </xf>
    <xf numFmtId="0" fontId="0" fillId="0" borderId="2" xfId="0" applyNumberFormat="1" applyFill="1" applyBorder="1" applyAlignment="1" applyProtection="1"/>
    <xf numFmtId="0" fontId="0" fillId="0" borderId="2" xfId="0" applyNumberFormat="1" applyBorder="1" applyAlignment="1" applyProtection="1">
      <alignment horizontal="left"/>
    </xf>
    <xf numFmtId="0" fontId="0" fillId="0" borderId="2" xfId="0" applyNumberFormat="1" applyFill="1" applyBorder="1" applyProtection="1"/>
    <xf numFmtId="0" fontId="0" fillId="0" borderId="3" xfId="0" applyFill="1" applyBorder="1" applyProtection="1"/>
    <xf numFmtId="0" fontId="0" fillId="0" borderId="3" xfId="0" applyNumberFormat="1" applyBorder="1" applyAlignment="1" applyProtection="1">
      <alignment horizontal="left"/>
    </xf>
    <xf numFmtId="0" fontId="0" fillId="0" borderId="9" xfId="0" applyFill="1" applyBorder="1" applyAlignment="1" applyProtection="1">
      <alignment horizontal="center"/>
    </xf>
    <xf numFmtId="0" fontId="0" fillId="0" borderId="2" xfId="0" applyFill="1" applyBorder="1" applyAlignment="1" applyProtection="1"/>
    <xf numFmtId="9" fontId="7" fillId="0" borderId="2" xfId="5" applyFont="1" applyFill="1" applyBorder="1" applyAlignment="1" applyProtection="1">
      <alignment horizontal="centerContinuous" vertical="center" wrapText="1"/>
    </xf>
    <xf numFmtId="0" fontId="7" fillId="0" borderId="2" xfId="0" applyFont="1" applyFill="1" applyBorder="1" applyAlignment="1" applyProtection="1"/>
    <xf numFmtId="0" fontId="0" fillId="0" borderId="3" xfId="0" applyFill="1" applyBorder="1" applyAlignment="1" applyProtection="1"/>
    <xf numFmtId="3" fontId="4" fillId="0" borderId="3" xfId="0" applyNumberFormat="1" applyFont="1" applyBorder="1" applyProtection="1">
      <protection locked="0"/>
    </xf>
    <xf numFmtId="0" fontId="0" fillId="0" borderId="9" xfId="0" applyFill="1" applyBorder="1" applyAlignment="1" applyProtection="1"/>
    <xf numFmtId="0" fontId="28" fillId="2" borderId="70" xfId="0" applyNumberFormat="1" applyFont="1" applyFill="1" applyBorder="1" applyAlignment="1" applyProtection="1">
      <alignment horizontal="left"/>
    </xf>
    <xf numFmtId="0" fontId="0" fillId="5" borderId="71" xfId="0" applyFill="1" applyBorder="1" applyProtection="1"/>
    <xf numFmtId="0" fontId="28" fillId="2" borderId="72" xfId="0" applyNumberFormat="1" applyFont="1" applyFill="1" applyBorder="1" applyAlignment="1" applyProtection="1">
      <alignment horizontal="left"/>
    </xf>
    <xf numFmtId="0" fontId="28" fillId="2" borderId="73" xfId="0" applyNumberFormat="1" applyFont="1" applyFill="1" applyBorder="1" applyAlignment="1" applyProtection="1">
      <alignment horizontal="left"/>
    </xf>
    <xf numFmtId="0" fontId="28" fillId="2" borderId="74" xfId="0" applyNumberFormat="1" applyFont="1" applyFill="1" applyBorder="1" applyAlignment="1" applyProtection="1">
      <alignment horizontal="left"/>
    </xf>
    <xf numFmtId="0" fontId="28" fillId="2" borderId="75" xfId="0" applyNumberFormat="1" applyFont="1" applyFill="1" applyBorder="1" applyAlignment="1" applyProtection="1">
      <alignment horizontal="left"/>
    </xf>
    <xf numFmtId="194" fontId="38" fillId="5" borderId="0" xfId="0" applyNumberFormat="1" applyFont="1" applyFill="1" applyBorder="1" applyAlignment="1" applyProtection="1">
      <alignment horizontal="centerContinuous"/>
    </xf>
    <xf numFmtId="0" fontId="38" fillId="5" borderId="0" xfId="0" applyFont="1" applyFill="1" applyBorder="1" applyAlignment="1" applyProtection="1">
      <alignment horizontal="centerContinuous"/>
    </xf>
    <xf numFmtId="4" fontId="38" fillId="5" borderId="0" xfId="0" applyNumberFormat="1" applyFont="1" applyFill="1" applyBorder="1" applyAlignment="1" applyProtection="1">
      <alignment horizontal="centerContinuous"/>
    </xf>
    <xf numFmtId="195" fontId="38" fillId="5" borderId="0" xfId="0" applyNumberFormat="1" applyFont="1" applyFill="1" applyBorder="1" applyAlignment="1" applyProtection="1">
      <alignment horizontal="centerContinuous"/>
    </xf>
    <xf numFmtId="0" fontId="45" fillId="0" borderId="0" xfId="0" applyFont="1" applyFill="1" applyAlignment="1" applyProtection="1">
      <alignment vertical="center"/>
    </xf>
    <xf numFmtId="3" fontId="41" fillId="2" borderId="37" xfId="0" applyNumberFormat="1" applyFont="1" applyFill="1" applyBorder="1" applyAlignment="1" applyProtection="1">
      <alignment horizontal="center" vertical="center" wrapText="1"/>
      <protection locked="0"/>
    </xf>
    <xf numFmtId="3" fontId="41" fillId="2" borderId="36" xfId="0" applyNumberFormat="1" applyFont="1" applyFill="1" applyBorder="1" applyAlignment="1" applyProtection="1">
      <alignment vertical="center"/>
    </xf>
    <xf numFmtId="3" fontId="40" fillId="2" borderId="36" xfId="0" applyNumberFormat="1" applyFont="1" applyFill="1" applyBorder="1" applyAlignment="1" applyProtection="1">
      <alignment vertical="center"/>
    </xf>
    <xf numFmtId="3" fontId="41" fillId="2" borderId="16" xfId="0" applyNumberFormat="1" applyFont="1" applyFill="1" applyBorder="1" applyAlignment="1" applyProtection="1">
      <alignment vertical="center"/>
    </xf>
    <xf numFmtId="3" fontId="41" fillId="4" borderId="37" xfId="0" applyNumberFormat="1" applyFont="1" applyFill="1" applyBorder="1" applyAlignment="1" applyProtection="1">
      <alignment vertical="center"/>
      <protection locked="0"/>
    </xf>
    <xf numFmtId="3" fontId="41" fillId="4" borderId="36" xfId="0" applyNumberFormat="1" applyFont="1" applyFill="1" applyBorder="1" applyAlignment="1" applyProtection="1">
      <alignment vertical="center"/>
      <protection locked="0"/>
    </xf>
    <xf numFmtId="3" fontId="41" fillId="4" borderId="36" xfId="0" applyNumberFormat="1" applyFont="1" applyFill="1" applyBorder="1" applyAlignment="1" applyProtection="1">
      <alignment vertical="center"/>
    </xf>
    <xf numFmtId="3" fontId="40" fillId="4" borderId="36" xfId="0" applyNumberFormat="1" applyFont="1" applyFill="1" applyBorder="1" applyAlignment="1" applyProtection="1">
      <alignment vertical="center"/>
    </xf>
    <xf numFmtId="3" fontId="41" fillId="4" borderId="34" xfId="0" applyNumberFormat="1" applyFont="1" applyFill="1" applyBorder="1" applyAlignment="1" applyProtection="1">
      <alignment vertical="center"/>
      <protection locked="0"/>
    </xf>
    <xf numFmtId="3" fontId="41" fillId="4" borderId="34" xfId="0" applyNumberFormat="1" applyFont="1" applyFill="1" applyBorder="1" applyAlignment="1" applyProtection="1">
      <alignment vertical="center"/>
    </xf>
    <xf numFmtId="3" fontId="40" fillId="4" borderId="34" xfId="0" applyNumberFormat="1" applyFont="1" applyFill="1" applyBorder="1" applyAlignment="1" applyProtection="1">
      <alignment vertical="center"/>
    </xf>
    <xf numFmtId="0" fontId="47" fillId="4" borderId="2" xfId="0" applyFont="1" applyFill="1" applyBorder="1" applyAlignment="1" applyProtection="1">
      <alignment vertical="center"/>
    </xf>
    <xf numFmtId="3" fontId="41" fillId="4" borderId="16" xfId="0" applyNumberFormat="1" applyFont="1" applyFill="1" applyBorder="1" applyAlignment="1" applyProtection="1">
      <alignment vertical="center"/>
    </xf>
    <xf numFmtId="3" fontId="41" fillId="10" borderId="37" xfId="0" applyNumberFormat="1" applyFont="1" applyFill="1" applyBorder="1" applyAlignment="1" applyProtection="1">
      <alignment vertical="center"/>
      <protection locked="0"/>
    </xf>
    <xf numFmtId="3" fontId="41" fillId="10" borderId="36" xfId="0" applyNumberFormat="1" applyFont="1" applyFill="1" applyBorder="1" applyAlignment="1" applyProtection="1">
      <alignment vertical="center"/>
      <protection locked="0"/>
    </xf>
    <xf numFmtId="3" fontId="41" fillId="10" borderId="36" xfId="0" applyNumberFormat="1" applyFont="1" applyFill="1" applyBorder="1" applyAlignment="1" applyProtection="1">
      <alignment vertical="center"/>
    </xf>
    <xf numFmtId="0" fontId="41" fillId="8" borderId="2" xfId="0" applyFont="1" applyFill="1" applyBorder="1" applyAlignment="1">
      <alignment horizontal="left" vertical="center"/>
    </xf>
    <xf numFmtId="3" fontId="40" fillId="10" borderId="36" xfId="0" applyNumberFormat="1" applyFont="1" applyFill="1" applyBorder="1" applyAlignment="1" applyProtection="1">
      <alignment vertical="center"/>
    </xf>
    <xf numFmtId="49" fontId="40" fillId="8" borderId="2" xfId="0" applyNumberFormat="1" applyFont="1" applyFill="1" applyBorder="1" applyAlignment="1" applyProtection="1">
      <alignment horizontal="left" vertical="center"/>
    </xf>
    <xf numFmtId="0" fontId="40" fillId="8" borderId="2" xfId="0" applyNumberFormat="1" applyFont="1" applyFill="1" applyBorder="1" applyAlignment="1" applyProtection="1">
      <alignment horizontal="left" vertical="center"/>
    </xf>
    <xf numFmtId="49" fontId="41" fillId="8" borderId="2" xfId="0" applyNumberFormat="1" applyFont="1" applyFill="1" applyBorder="1" applyAlignment="1" applyProtection="1">
      <alignment horizontal="left" vertical="center"/>
    </xf>
    <xf numFmtId="0" fontId="41" fillId="8" borderId="2" xfId="0" applyNumberFormat="1" applyFont="1" applyFill="1" applyBorder="1" applyAlignment="1" applyProtection="1">
      <alignment horizontal="left" vertical="center"/>
    </xf>
    <xf numFmtId="0" fontId="38" fillId="0" borderId="2" xfId="0" applyFont="1" applyFill="1" applyBorder="1" applyAlignment="1" applyProtection="1">
      <alignment vertical="center"/>
    </xf>
    <xf numFmtId="49" fontId="47" fillId="8" borderId="2" xfId="0" applyNumberFormat="1" applyFont="1" applyFill="1" applyBorder="1" applyAlignment="1" applyProtection="1">
      <alignment horizontal="left" vertical="center"/>
    </xf>
    <xf numFmtId="0" fontId="47" fillId="8" borderId="2" xfId="0" applyNumberFormat="1" applyFont="1" applyFill="1" applyBorder="1" applyAlignment="1" applyProtection="1">
      <alignment horizontal="left" vertical="center"/>
    </xf>
    <xf numFmtId="0" fontId="41" fillId="8" borderId="2" xfId="0" applyFont="1" applyFill="1" applyBorder="1" applyAlignment="1">
      <alignment vertical="center"/>
    </xf>
    <xf numFmtId="3" fontId="40" fillId="10" borderId="36" xfId="0" applyNumberFormat="1" applyFont="1" applyFill="1" applyBorder="1" applyAlignment="1" applyProtection="1">
      <alignment vertical="center"/>
      <protection locked="0"/>
    </xf>
    <xf numFmtId="3" fontId="40" fillId="10" borderId="34" xfId="0" applyNumberFormat="1" applyFont="1" applyFill="1" applyBorder="1" applyAlignment="1" applyProtection="1">
      <alignment vertical="center"/>
    </xf>
    <xf numFmtId="3" fontId="41" fillId="8" borderId="3" xfId="0" applyNumberFormat="1" applyFont="1" applyFill="1" applyBorder="1" applyAlignment="1">
      <alignment vertical="center"/>
    </xf>
    <xf numFmtId="3" fontId="41" fillId="10" borderId="16" xfId="0" applyNumberFormat="1" applyFont="1" applyFill="1" applyBorder="1" applyAlignment="1" applyProtection="1">
      <alignment vertical="center"/>
    </xf>
    <xf numFmtId="0" fontId="41" fillId="11" borderId="10" xfId="0" applyFont="1" applyFill="1" applyBorder="1" applyAlignment="1">
      <alignment vertical="center"/>
    </xf>
    <xf numFmtId="3" fontId="41" fillId="12" borderId="37" xfId="0" applyNumberFormat="1" applyFont="1" applyFill="1" applyBorder="1" applyAlignment="1" applyProtection="1">
      <alignment vertical="center"/>
      <protection locked="0"/>
    </xf>
    <xf numFmtId="0" fontId="41" fillId="11" borderId="2" xfId="0" applyFont="1" applyFill="1" applyBorder="1" applyAlignment="1">
      <alignment vertical="center"/>
    </xf>
    <xf numFmtId="3" fontId="41" fillId="12" borderId="36" xfId="0" applyNumberFormat="1" applyFont="1" applyFill="1" applyBorder="1" applyAlignment="1" applyProtection="1">
      <alignment vertical="center"/>
    </xf>
    <xf numFmtId="3" fontId="41" fillId="11" borderId="2" xfId="0" applyNumberFormat="1" applyFont="1" applyFill="1" applyBorder="1" applyAlignment="1">
      <alignment vertical="center"/>
    </xf>
    <xf numFmtId="3" fontId="40" fillId="12" borderId="36" xfId="0" applyNumberFormat="1" applyFont="1" applyFill="1" applyBorder="1" applyAlignment="1" applyProtection="1">
      <alignment vertical="center"/>
    </xf>
    <xf numFmtId="49" fontId="47" fillId="11" borderId="2" xfId="0" applyNumberFormat="1" applyFont="1" applyFill="1" applyBorder="1" applyAlignment="1" applyProtection="1">
      <alignment horizontal="left" vertical="center"/>
    </xf>
    <xf numFmtId="3" fontId="41" fillId="13" borderId="16" xfId="0" applyNumberFormat="1" applyFont="1" applyFill="1" applyBorder="1" applyAlignment="1" applyProtection="1">
      <alignment vertical="center"/>
    </xf>
    <xf numFmtId="0" fontId="27" fillId="0" borderId="3" xfId="0" applyFont="1" applyBorder="1" applyAlignment="1" applyProtection="1">
      <alignment horizontal="centerContinuous" vertical="center" wrapText="1"/>
    </xf>
    <xf numFmtId="49" fontId="27" fillId="0" borderId="10" xfId="0" applyNumberFormat="1" applyFont="1" applyFill="1" applyBorder="1" applyAlignment="1" applyProtection="1">
      <alignment horizontal="left"/>
    </xf>
    <xf numFmtId="0" fontId="29" fillId="0" borderId="2" xfId="0" applyNumberFormat="1" applyFont="1" applyFill="1" applyBorder="1" applyAlignment="1" applyProtection="1">
      <alignment horizontal="left"/>
    </xf>
    <xf numFmtId="9" fontId="50" fillId="0" borderId="10" xfId="5" applyFont="1" applyFill="1" applyBorder="1" applyAlignment="1" applyProtection="1">
      <protection locked="0"/>
    </xf>
    <xf numFmtId="1" fontId="38" fillId="2" borderId="48" xfId="0" applyNumberFormat="1" applyFont="1" applyFill="1" applyBorder="1" applyAlignment="1" applyProtection="1">
      <alignment horizontal="left"/>
      <protection locked="0"/>
    </xf>
    <xf numFmtId="0" fontId="30" fillId="6" borderId="10" xfId="0" applyFont="1" applyFill="1" applyBorder="1" applyAlignment="1" applyProtection="1">
      <alignment horizontal="right"/>
      <protection locked="0"/>
    </xf>
    <xf numFmtId="3" fontId="12" fillId="6" borderId="10" xfId="0" applyNumberFormat="1" applyFont="1" applyFill="1" applyBorder="1" applyAlignment="1" applyProtection="1">
      <alignment horizontal="center"/>
      <protection locked="0"/>
    </xf>
    <xf numFmtId="3" fontId="12" fillId="6" borderId="2" xfId="0" applyNumberFormat="1" applyFont="1" applyFill="1" applyBorder="1" applyAlignment="1" applyProtection="1">
      <alignment horizontal="center"/>
      <protection locked="0"/>
    </xf>
    <xf numFmtId="0" fontId="30" fillId="6" borderId="2" xfId="0" applyFont="1" applyFill="1" applyBorder="1" applyAlignment="1" applyProtection="1">
      <alignment horizontal="right"/>
      <protection locked="0"/>
    </xf>
    <xf numFmtId="198" fontId="30" fillId="6" borderId="2" xfId="0" applyNumberFormat="1" applyFont="1" applyFill="1" applyBorder="1" applyAlignment="1" applyProtection="1">
      <alignment horizontal="right"/>
      <protection locked="0"/>
    </xf>
    <xf numFmtId="198" fontId="30" fillId="6" borderId="3" xfId="0" applyNumberFormat="1" applyFont="1" applyFill="1" applyBorder="1" applyAlignment="1" applyProtection="1">
      <alignment horizontal="right"/>
      <protection locked="0"/>
    </xf>
    <xf numFmtId="0" fontId="30" fillId="24" borderId="10" xfId="0" applyFont="1" applyFill="1" applyBorder="1" applyAlignment="1" applyProtection="1">
      <alignment horizontal="right"/>
    </xf>
    <xf numFmtId="3" fontId="12" fillId="6" borderId="58" xfId="0" applyNumberFormat="1" applyFont="1" applyFill="1" applyBorder="1" applyAlignment="1" applyProtection="1">
      <alignment horizontal="center"/>
      <protection locked="0"/>
    </xf>
    <xf numFmtId="0" fontId="0" fillId="6" borderId="0" xfId="0" applyFill="1" applyProtection="1">
      <protection locked="0"/>
    </xf>
    <xf numFmtId="0" fontId="7" fillId="6" borderId="0" xfId="0" applyFont="1" applyFill="1" applyAlignment="1" applyProtection="1">
      <alignment horizontal="left" vertical="center"/>
    </xf>
    <xf numFmtId="0" fontId="0" fillId="5" borderId="22" xfId="0" applyFill="1" applyBorder="1" applyAlignment="1" applyProtection="1">
      <alignment horizontal="center" vertical="center"/>
      <protection locked="0"/>
    </xf>
    <xf numFmtId="0" fontId="5" fillId="8" borderId="2" xfId="0" applyFont="1" applyFill="1" applyBorder="1" applyAlignment="1" applyProtection="1">
      <alignment horizontal="left"/>
    </xf>
    <xf numFmtId="3" fontId="51" fillId="4" borderId="13" xfId="0" applyNumberFormat="1" applyFont="1" applyFill="1" applyBorder="1" applyAlignment="1" applyProtection="1">
      <alignment vertical="center"/>
    </xf>
    <xf numFmtId="3" fontId="51" fillId="4" borderId="14" xfId="0" applyNumberFormat="1" applyFont="1" applyFill="1" applyBorder="1" applyAlignment="1" applyProtection="1">
      <alignment vertical="center"/>
    </xf>
    <xf numFmtId="3" fontId="51" fillId="4" borderId="35" xfId="0" applyNumberFormat="1" applyFont="1" applyFill="1" applyBorder="1" applyAlignment="1" applyProtection="1">
      <alignment vertical="center"/>
    </xf>
    <xf numFmtId="3" fontId="51" fillId="8" borderId="14" xfId="0" applyNumberFormat="1" applyFont="1" applyFill="1" applyBorder="1" applyAlignment="1" applyProtection="1">
      <alignment vertical="center"/>
    </xf>
    <xf numFmtId="3" fontId="42" fillId="4" borderId="35" xfId="0" applyNumberFormat="1" applyFont="1" applyFill="1" applyBorder="1" applyAlignment="1" applyProtection="1">
      <alignment vertical="center"/>
    </xf>
    <xf numFmtId="3" fontId="42" fillId="8" borderId="35" xfId="0" applyNumberFormat="1" applyFont="1" applyFill="1" applyBorder="1" applyAlignment="1" applyProtection="1">
      <alignment vertical="center"/>
    </xf>
    <xf numFmtId="3" fontId="51" fillId="8" borderId="35" xfId="0" applyNumberFormat="1" applyFont="1" applyFill="1" applyBorder="1" applyAlignment="1" applyProtection="1">
      <alignment vertical="center"/>
    </xf>
    <xf numFmtId="3" fontId="51" fillId="8" borderId="13" xfId="0" applyNumberFormat="1" applyFont="1" applyFill="1" applyBorder="1" applyAlignment="1" applyProtection="1">
      <alignment vertical="center"/>
    </xf>
    <xf numFmtId="3" fontId="51" fillId="4" borderId="34" xfId="0" applyNumberFormat="1" applyFont="1" applyFill="1" applyBorder="1" applyAlignment="1" applyProtection="1">
      <alignment vertical="center"/>
    </xf>
    <xf numFmtId="0" fontId="52" fillId="15" borderId="36" xfId="0" applyFont="1" applyFill="1" applyBorder="1" applyAlignment="1" applyProtection="1">
      <alignment vertical="center"/>
    </xf>
    <xf numFmtId="3" fontId="51" fillId="10" borderId="36" xfId="0" applyNumberFormat="1" applyFont="1" applyFill="1" applyBorder="1" applyAlignment="1" applyProtection="1">
      <alignment vertical="center"/>
    </xf>
    <xf numFmtId="3" fontId="42" fillId="4" borderId="34" xfId="0" applyNumberFormat="1" applyFont="1" applyFill="1" applyBorder="1" applyAlignment="1" applyProtection="1">
      <alignment vertical="center"/>
    </xf>
    <xf numFmtId="0" fontId="0" fillId="2" borderId="0" xfId="0" applyFill="1" applyProtection="1"/>
    <xf numFmtId="4" fontId="0" fillId="2" borderId="0" xfId="0" applyNumberFormat="1" applyFill="1" applyProtection="1"/>
    <xf numFmtId="4" fontId="55" fillId="2" borderId="0" xfId="0" applyNumberFormat="1" applyFont="1" applyFill="1" applyBorder="1" applyAlignment="1" applyProtection="1">
      <alignment horizontal="left"/>
    </xf>
    <xf numFmtId="195" fontId="55" fillId="2" borderId="0" xfId="0" applyNumberFormat="1" applyFont="1" applyFill="1" applyBorder="1" applyAlignment="1" applyProtection="1">
      <alignment horizontal="right"/>
    </xf>
    <xf numFmtId="0" fontId="55" fillId="2" borderId="0" xfId="0" applyFont="1" applyFill="1" applyBorder="1" applyAlignment="1" applyProtection="1">
      <alignment horizontal="center"/>
    </xf>
    <xf numFmtId="0" fontId="40" fillId="15" borderId="0" xfId="0" applyFont="1" applyFill="1" applyProtection="1"/>
    <xf numFmtId="4" fontId="38" fillId="15" borderId="0" xfId="0" applyNumberFormat="1" applyFont="1" applyFill="1" applyBorder="1" applyAlignment="1" applyProtection="1">
      <alignment horizontal="right"/>
    </xf>
    <xf numFmtId="195" fontId="38" fillId="15" borderId="0" xfId="0" applyNumberFormat="1" applyFont="1" applyFill="1" applyBorder="1" applyAlignment="1" applyProtection="1">
      <alignment horizontal="centerContinuous"/>
    </xf>
    <xf numFmtId="195" fontId="38" fillId="15" borderId="0" xfId="0" applyNumberFormat="1" applyFont="1" applyFill="1" applyBorder="1" applyAlignment="1" applyProtection="1">
      <alignment horizontal="right"/>
    </xf>
    <xf numFmtId="4" fontId="39" fillId="15" borderId="0" xfId="0" applyNumberFormat="1" applyFont="1" applyFill="1" applyBorder="1" applyAlignment="1" applyProtection="1">
      <alignment horizontal="right"/>
    </xf>
    <xf numFmtId="0" fontId="54" fillId="2" borderId="0" xfId="0" applyFont="1" applyFill="1" applyBorder="1" applyAlignment="1" applyProtection="1">
      <alignment horizontal="centerContinuous" vertical="center"/>
    </xf>
    <xf numFmtId="0" fontId="28" fillId="0" borderId="0" xfId="0" applyFont="1" applyFill="1" applyBorder="1" applyProtection="1"/>
    <xf numFmtId="0" fontId="17" fillId="25" borderId="0" xfId="0" applyFont="1" applyFill="1" applyBorder="1" applyProtection="1"/>
    <xf numFmtId="9" fontId="7" fillId="0" borderId="0" xfId="5" applyFont="1" applyFill="1" applyBorder="1" applyProtection="1"/>
    <xf numFmtId="9" fontId="7" fillId="2" borderId="9" xfId="5" applyFont="1" applyFill="1" applyBorder="1" applyProtection="1"/>
    <xf numFmtId="9" fontId="10" fillId="2" borderId="9" xfId="5" applyFont="1" applyFill="1" applyBorder="1" applyProtection="1"/>
    <xf numFmtId="0" fontId="28"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5" fillId="0" borderId="0" xfId="0" applyFont="1" applyFill="1" applyBorder="1" applyProtection="1"/>
    <xf numFmtId="3" fontId="12" fillId="0" borderId="0" xfId="0" applyNumberFormat="1" applyFont="1" applyFill="1" applyBorder="1" applyAlignment="1" applyProtection="1">
      <alignment horizontal="center"/>
    </xf>
    <xf numFmtId="3" fontId="12" fillId="0" borderId="0" xfId="0" applyNumberFormat="1" applyFont="1" applyFill="1" applyBorder="1" applyAlignment="1" applyProtection="1">
      <alignment horizontal="center" vertical="center" wrapText="1"/>
    </xf>
    <xf numFmtId="3" fontId="12" fillId="0" borderId="0" xfId="0" applyNumberFormat="1" applyFont="1" applyFill="1" applyBorder="1" applyAlignment="1" applyProtection="1">
      <alignment horizontal="center"/>
      <protection locked="0"/>
    </xf>
    <xf numFmtId="201" fontId="12" fillId="0" borderId="0" xfId="0" applyNumberFormat="1" applyFont="1" applyFill="1" applyBorder="1" applyAlignment="1" applyProtection="1">
      <alignment horizontal="left"/>
      <protection locked="0"/>
    </xf>
    <xf numFmtId="0" fontId="8" fillId="0" borderId="0" xfId="0" applyFont="1" applyFill="1" applyBorder="1" applyProtection="1"/>
    <xf numFmtId="0" fontId="5" fillId="0" borderId="0" xfId="0" applyFont="1" applyProtection="1"/>
    <xf numFmtId="0" fontId="8" fillId="2" borderId="9" xfId="0" applyFont="1" applyFill="1" applyBorder="1" applyProtection="1"/>
    <xf numFmtId="0" fontId="8" fillId="0" borderId="0" xfId="0" applyFont="1" applyProtection="1"/>
    <xf numFmtId="0" fontId="61" fillId="2" borderId="9" xfId="0" applyFont="1" applyFill="1" applyBorder="1" applyProtection="1"/>
    <xf numFmtId="3" fontId="7" fillId="2" borderId="9" xfId="5" applyNumberFormat="1" applyFont="1" applyFill="1" applyBorder="1" applyProtection="1"/>
    <xf numFmtId="3" fontId="10" fillId="16" borderId="9" xfId="5" applyNumberFormat="1" applyFont="1" applyFill="1" applyBorder="1" applyAlignment="1" applyProtection="1">
      <alignment horizontal="center"/>
      <protection locked="0"/>
    </xf>
    <xf numFmtId="0" fontId="8" fillId="6" borderId="0" xfId="0" applyFont="1" applyFill="1" applyProtection="1"/>
    <xf numFmtId="0" fontId="8" fillId="0" borderId="0" xfId="0" applyFont="1" applyFill="1" applyBorder="1" applyAlignment="1" applyProtection="1">
      <alignment horizontal="right"/>
    </xf>
    <xf numFmtId="14" fontId="0" fillId="5" borderId="14" xfId="0" applyNumberFormat="1" applyFill="1" applyBorder="1" applyAlignment="1" applyProtection="1">
      <alignment horizontal="center"/>
      <protection locked="0"/>
    </xf>
    <xf numFmtId="0" fontId="0" fillId="0" borderId="0" xfId="0" applyFill="1" applyAlignment="1" applyProtection="1">
      <alignment vertical="center"/>
    </xf>
    <xf numFmtId="0" fontId="0" fillId="0" borderId="2" xfId="0" applyBorder="1" applyProtection="1">
      <protection locked="0"/>
    </xf>
    <xf numFmtId="3" fontId="0" fillId="0" borderId="2" xfId="0" applyNumberFormat="1" applyFill="1" applyBorder="1" applyAlignment="1" applyProtection="1">
      <alignment horizontal="right"/>
    </xf>
    <xf numFmtId="3" fontId="7" fillId="0" borderId="2" xfId="0" applyNumberFormat="1" applyFont="1" applyFill="1" applyBorder="1" applyAlignment="1" applyProtection="1">
      <alignment horizontal="right"/>
    </xf>
    <xf numFmtId="3" fontId="4" fillId="0" borderId="2" xfId="0" applyNumberFormat="1" applyFont="1" applyFill="1" applyBorder="1" applyAlignment="1" applyProtection="1">
      <alignment horizontal="right"/>
    </xf>
    <xf numFmtId="3" fontId="4" fillId="0" borderId="3" xfId="0" applyNumberFormat="1" applyFont="1" applyFill="1" applyBorder="1" applyAlignment="1" applyProtection="1">
      <alignment horizontal="right"/>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Protection="1">
      <protection locked="0"/>
    </xf>
    <xf numFmtId="0" fontId="0" fillId="0" borderId="9" xfId="0" applyBorder="1" applyProtection="1">
      <protection locked="0"/>
    </xf>
    <xf numFmtId="3" fontId="12" fillId="6" borderId="0" xfId="0" applyNumberFormat="1" applyFont="1" applyFill="1" applyBorder="1" applyAlignment="1" applyProtection="1">
      <alignment horizontal="left"/>
    </xf>
    <xf numFmtId="3" fontId="12" fillId="6" borderId="0" xfId="0" applyNumberFormat="1" applyFont="1" applyFill="1" applyBorder="1" applyAlignment="1" applyProtection="1">
      <alignment horizontal="center"/>
    </xf>
    <xf numFmtId="0" fontId="0" fillId="6" borderId="0" xfId="0" applyFill="1"/>
    <xf numFmtId="9" fontId="0" fillId="6" borderId="0" xfId="5" applyFont="1" applyFill="1"/>
    <xf numFmtId="0" fontId="62" fillId="0" borderId="0" xfId="0" applyFont="1" applyFill="1" applyAlignment="1" applyProtection="1">
      <alignment horizontal="center"/>
    </xf>
    <xf numFmtId="49" fontId="0" fillId="0" borderId="0" xfId="0" applyNumberFormat="1" applyProtection="1"/>
    <xf numFmtId="203" fontId="0" fillId="6" borderId="14" xfId="0" applyNumberFormat="1" applyFill="1" applyBorder="1" applyAlignment="1" applyProtection="1">
      <alignment horizontal="center" vertical="center"/>
      <protection locked="0"/>
    </xf>
    <xf numFmtId="3" fontId="41" fillId="6" borderId="9" xfId="0" applyNumberFormat="1" applyFont="1" applyFill="1" applyBorder="1" applyAlignment="1" applyProtection="1">
      <alignment horizontal="right"/>
      <protection locked="0"/>
    </xf>
    <xf numFmtId="3" fontId="7" fillId="5" borderId="3" xfId="0" applyNumberFormat="1" applyFont="1" applyFill="1" applyBorder="1" applyAlignment="1" applyProtection="1">
      <alignment horizontal="centerContinuous" wrapText="1"/>
    </xf>
    <xf numFmtId="1" fontId="38" fillId="0" borderId="16" xfId="0" applyNumberFormat="1" applyFont="1" applyFill="1" applyBorder="1" applyAlignment="1" applyProtection="1">
      <alignment horizontal="left" vertical="center"/>
    </xf>
    <xf numFmtId="0" fontId="39" fillId="0" borderId="36" xfId="0" applyFont="1" applyFill="1" applyBorder="1" applyAlignment="1" applyProtection="1">
      <alignment horizontal="left" vertical="center"/>
    </xf>
    <xf numFmtId="0" fontId="8" fillId="6" borderId="2" xfId="0" applyFont="1" applyFill="1" applyBorder="1" applyAlignment="1" applyProtection="1">
      <alignment horizontal="left"/>
    </xf>
    <xf numFmtId="0" fontId="16" fillId="0" borderId="0" xfId="0" quotePrefix="1" applyFont="1" applyProtection="1"/>
    <xf numFmtId="1" fontId="16" fillId="0" borderId="0" xfId="0" applyNumberFormat="1" applyFont="1" applyFill="1" applyBorder="1" applyProtection="1"/>
    <xf numFmtId="1" fontId="16" fillId="0" borderId="0" xfId="0" applyNumberFormat="1" applyFont="1" applyProtection="1"/>
    <xf numFmtId="0" fontId="50" fillId="6" borderId="0" xfId="0" applyFont="1" applyFill="1" applyProtection="1"/>
    <xf numFmtId="0" fontId="63" fillId="0" borderId="0" xfId="0" applyFont="1" applyBorder="1" applyAlignment="1">
      <alignment horizontal="right" vertical="top" wrapText="1"/>
    </xf>
    <xf numFmtId="0" fontId="4" fillId="0" borderId="0" xfId="0" applyFont="1" applyBorder="1" applyAlignment="1">
      <alignment horizontal="right" vertical="top" wrapText="1"/>
    </xf>
    <xf numFmtId="0" fontId="16" fillId="4" borderId="0" xfId="0" applyFont="1" applyFill="1" applyBorder="1" applyProtection="1"/>
    <xf numFmtId="3" fontId="12" fillId="8" borderId="58" xfId="0" applyNumberFormat="1" applyFont="1" applyFill="1" applyBorder="1" applyAlignment="1" applyProtection="1">
      <alignment horizontal="center"/>
      <protection locked="0"/>
    </xf>
    <xf numFmtId="0" fontId="16" fillId="11" borderId="0" xfId="0" applyFont="1" applyFill="1" applyProtection="1"/>
    <xf numFmtId="0" fontId="40" fillId="0" borderId="0" xfId="0" quotePrefix="1" applyFont="1" applyFill="1" applyBorder="1" applyProtection="1"/>
    <xf numFmtId="0" fontId="0" fillId="11" borderId="0" xfId="0" applyFill="1" applyProtection="1"/>
    <xf numFmtId="3" fontId="40" fillId="2" borderId="13" xfId="0" applyNumberFormat="1" applyFont="1" applyFill="1" applyBorder="1" applyAlignment="1" applyProtection="1">
      <alignment vertical="center"/>
    </xf>
    <xf numFmtId="3" fontId="4" fillId="8" borderId="2" xfId="0" applyNumberFormat="1" applyFont="1" applyFill="1" applyBorder="1" applyProtection="1">
      <protection locked="0"/>
    </xf>
    <xf numFmtId="3" fontId="40" fillId="2" borderId="35" xfId="0" applyNumberFormat="1" applyFont="1" applyFill="1" applyBorder="1" applyAlignment="1" applyProtection="1">
      <alignment vertical="center"/>
    </xf>
    <xf numFmtId="3" fontId="51" fillId="2" borderId="13" xfId="0" applyNumberFormat="1" applyFont="1" applyFill="1" applyBorder="1" applyAlignment="1" applyProtection="1">
      <alignment vertical="center"/>
    </xf>
    <xf numFmtId="192" fontId="51" fillId="2" borderId="35" xfId="0" applyNumberFormat="1" applyFont="1" applyFill="1" applyBorder="1" applyAlignment="1" applyProtection="1">
      <alignment vertical="center"/>
    </xf>
    <xf numFmtId="0" fontId="40" fillId="6" borderId="0" xfId="0" applyFont="1" applyFill="1" applyProtection="1"/>
    <xf numFmtId="1" fontId="0" fillId="4" borderId="2" xfId="0" applyNumberFormat="1" applyFill="1" applyBorder="1" applyProtection="1">
      <protection locked="0"/>
    </xf>
    <xf numFmtId="1" fontId="0" fillId="4" borderId="3" xfId="5" applyNumberFormat="1" applyFont="1" applyFill="1" applyBorder="1" applyProtection="1">
      <protection locked="0"/>
    </xf>
    <xf numFmtId="0" fontId="7" fillId="0" borderId="12" xfId="0" applyFont="1" applyFill="1" applyBorder="1" applyProtection="1"/>
    <xf numFmtId="0" fontId="7" fillId="0" borderId="11" xfId="0" applyFont="1" applyFill="1" applyBorder="1" applyProtection="1"/>
    <xf numFmtId="49" fontId="8" fillId="0" borderId="11" xfId="0" applyNumberFormat="1" applyFont="1" applyBorder="1" applyAlignment="1" applyProtection="1">
      <alignment horizontal="left"/>
    </xf>
    <xf numFmtId="49" fontId="5" fillId="0" borderId="11" xfId="0" applyNumberFormat="1" applyFont="1" applyBorder="1" applyAlignment="1" applyProtection="1">
      <alignment horizontal="left"/>
    </xf>
    <xf numFmtId="0" fontId="8" fillId="0" borderId="11" xfId="0" applyFont="1" applyBorder="1"/>
    <xf numFmtId="0" fontId="8" fillId="0" borderId="57" xfId="0" applyFont="1" applyBorder="1"/>
    <xf numFmtId="0" fontId="41" fillId="2" borderId="9" xfId="0" applyFont="1" applyFill="1" applyBorder="1" applyAlignment="1" applyProtection="1">
      <alignment horizontal="centerContinuous" vertical="center" wrapText="1"/>
    </xf>
    <xf numFmtId="0" fontId="41" fillId="8" borderId="9" xfId="0" applyFont="1" applyFill="1" applyBorder="1" applyAlignment="1" applyProtection="1">
      <alignment horizontal="centerContinuous" vertical="center" wrapText="1"/>
    </xf>
    <xf numFmtId="0" fontId="8" fillId="0" borderId="9" xfId="0" applyFont="1" applyBorder="1" applyAlignment="1" applyProtection="1">
      <alignment horizontal="left"/>
    </xf>
    <xf numFmtId="0" fontId="40" fillId="4" borderId="9" xfId="0" applyFont="1" applyFill="1" applyBorder="1" applyProtection="1"/>
    <xf numFmtId="0" fontId="40" fillId="0" borderId="9" xfId="0" applyFont="1" applyFill="1" applyBorder="1" applyProtection="1"/>
    <xf numFmtId="0" fontId="4" fillId="0" borderId="9" xfId="0" applyFont="1" applyFill="1" applyBorder="1" applyProtection="1"/>
    <xf numFmtId="0" fontId="52" fillId="6" borderId="9" xfId="0" applyFont="1" applyFill="1" applyBorder="1" applyAlignment="1" applyProtection="1">
      <alignment horizontal="center" vertical="center"/>
    </xf>
    <xf numFmtId="9" fontId="12" fillId="6" borderId="58" xfId="5" applyFont="1" applyFill="1" applyBorder="1" applyAlignment="1" applyProtection="1">
      <alignment horizontal="center"/>
      <protection locked="0"/>
    </xf>
    <xf numFmtId="0" fontId="7" fillId="6" borderId="0" xfId="0" applyFont="1" applyFill="1" applyAlignment="1" applyProtection="1">
      <alignment horizontal="center"/>
    </xf>
    <xf numFmtId="0" fontId="7" fillId="8" borderId="37"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28" fillId="8" borderId="0" xfId="0" applyFont="1" applyFill="1" applyProtection="1"/>
    <xf numFmtId="0" fontId="17" fillId="8" borderId="0" xfId="0" applyFont="1" applyFill="1" applyProtection="1"/>
    <xf numFmtId="0" fontId="17" fillId="8" borderId="0" xfId="0" applyFont="1" applyFill="1" applyBorder="1" applyProtection="1"/>
    <xf numFmtId="0" fontId="0" fillId="8" borderId="0" xfId="0" applyFill="1" applyProtection="1"/>
    <xf numFmtId="3" fontId="51" fillId="2" borderId="35" xfId="0" applyNumberFormat="1" applyFont="1" applyFill="1" applyBorder="1" applyAlignment="1" applyProtection="1">
      <alignment vertical="center"/>
    </xf>
    <xf numFmtId="1" fontId="40" fillId="0" borderId="9" xfId="0" applyNumberFormat="1" applyFont="1" applyFill="1" applyBorder="1" applyProtection="1"/>
    <xf numFmtId="0" fontId="0" fillId="26" borderId="0" xfId="0" applyFill="1" applyBorder="1" applyProtection="1"/>
    <xf numFmtId="0" fontId="0" fillId="26" borderId="0" xfId="0" applyFill="1" applyBorder="1" applyAlignment="1" applyProtection="1">
      <alignment horizontal="center" vertical="top" wrapText="1"/>
    </xf>
    <xf numFmtId="3" fontId="40" fillId="15" borderId="13" xfId="0" applyNumberFormat="1" applyFont="1" applyFill="1" applyBorder="1" applyAlignment="1" applyProtection="1">
      <alignment vertical="center"/>
    </xf>
    <xf numFmtId="3" fontId="41" fillId="15" borderId="14" xfId="0" applyNumberFormat="1" applyFont="1" applyFill="1" applyBorder="1" applyAlignment="1" applyProtection="1">
      <alignment vertical="center"/>
    </xf>
    <xf numFmtId="3" fontId="40" fillId="0" borderId="35" xfId="0" applyNumberFormat="1" applyFont="1" applyFill="1" applyBorder="1" applyAlignment="1" applyProtection="1">
      <alignment vertical="center"/>
    </xf>
    <xf numFmtId="9" fontId="0" fillId="4" borderId="10" xfId="5" applyFont="1" applyFill="1" applyBorder="1" applyAlignment="1" applyProtection="1">
      <protection locked="0"/>
    </xf>
    <xf numFmtId="0" fontId="8" fillId="8" borderId="10" xfId="0" applyFont="1" applyFill="1" applyBorder="1" applyAlignment="1" applyProtection="1">
      <alignment horizontal="centerContinuous" vertical="center" wrapText="1"/>
    </xf>
    <xf numFmtId="0" fontId="8" fillId="8" borderId="9" xfId="0" applyFont="1" applyFill="1" applyBorder="1" applyAlignment="1" applyProtection="1">
      <alignment horizontal="centerContinuous" vertical="center" wrapText="1"/>
    </xf>
    <xf numFmtId="0" fontId="40" fillId="8" borderId="0" xfId="0" applyFont="1" applyFill="1" applyBorder="1" applyProtection="1"/>
    <xf numFmtId="0" fontId="40" fillId="8" borderId="0" xfId="0" applyFont="1" applyFill="1" applyProtection="1"/>
    <xf numFmtId="0" fontId="16" fillId="6" borderId="9" xfId="0" applyFont="1" applyFill="1" applyBorder="1" applyAlignment="1" applyProtection="1">
      <alignment horizontal="center"/>
      <protection locked="0"/>
    </xf>
    <xf numFmtId="0" fontId="0" fillId="6" borderId="45" xfId="0" applyFill="1" applyBorder="1" applyAlignment="1" applyProtection="1">
      <alignment vertical="center"/>
      <protection locked="0"/>
    </xf>
    <xf numFmtId="0" fontId="0" fillId="6" borderId="14"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26" xfId="0" applyFill="1" applyBorder="1" applyAlignment="1" applyProtection="1">
      <alignment vertical="center"/>
      <protection locked="0"/>
    </xf>
    <xf numFmtId="0" fontId="0" fillId="8" borderId="0" xfId="0" applyFill="1" applyProtection="1">
      <protection locked="0"/>
    </xf>
    <xf numFmtId="0" fontId="0" fillId="0" borderId="0" xfId="0" applyFill="1" applyBorder="1" applyProtection="1">
      <protection locked="0"/>
    </xf>
    <xf numFmtId="0" fontId="7" fillId="0" borderId="0" xfId="0" applyFont="1" applyFill="1" applyBorder="1" applyAlignment="1" applyProtection="1">
      <alignment horizontal="centerContinuous" vertical="center" wrapText="1"/>
      <protection locked="0"/>
    </xf>
    <xf numFmtId="3" fontId="0" fillId="0" borderId="0" xfId="0" applyNumberFormat="1" applyProtection="1">
      <protection locked="0"/>
    </xf>
    <xf numFmtId="3" fontId="0" fillId="0" borderId="0" xfId="0" applyNumberFormat="1" applyFill="1" applyBorder="1" applyProtection="1">
      <protection locked="0"/>
    </xf>
    <xf numFmtId="0" fontId="7" fillId="0" borderId="0" xfId="0" applyFont="1" applyProtection="1">
      <protection locked="0"/>
    </xf>
    <xf numFmtId="0" fontId="7" fillId="0" borderId="0" xfId="0" applyFont="1" applyFill="1" applyBorder="1" applyProtection="1">
      <protection locked="0"/>
    </xf>
    <xf numFmtId="3" fontId="0" fillId="8" borderId="0" xfId="0" applyNumberFormat="1" applyFill="1" applyProtection="1">
      <protection locked="0"/>
    </xf>
    <xf numFmtId="0" fontId="7" fillId="8" borderId="0" xfId="0" applyFont="1" applyFill="1" applyProtection="1">
      <protection locked="0"/>
    </xf>
    <xf numFmtId="0" fontId="0" fillId="8" borderId="0" xfId="0" applyFill="1" applyAlignment="1" applyProtection="1"/>
    <xf numFmtId="0" fontId="0" fillId="0" borderId="0" xfId="0" applyAlignment="1" applyProtection="1">
      <protection locked="0"/>
    </xf>
    <xf numFmtId="0" fontId="7" fillId="6" borderId="9" xfId="0" applyFont="1" applyFill="1" applyBorder="1" applyAlignment="1" applyProtection="1">
      <alignment horizontal="centerContinuous" vertical="center" wrapText="1"/>
    </xf>
    <xf numFmtId="202" fontId="0" fillId="5" borderId="0" xfId="0" applyNumberFormat="1" applyFill="1" applyAlignment="1" applyProtection="1">
      <alignment vertical="center"/>
      <protection locked="0"/>
    </xf>
    <xf numFmtId="197" fontId="4" fillId="5" borderId="0" xfId="2" applyNumberFormat="1" applyFont="1" applyFill="1" applyProtection="1"/>
    <xf numFmtId="197" fontId="0" fillId="5" borderId="0" xfId="2" applyNumberFormat="1" applyFont="1" applyFill="1" applyProtection="1"/>
    <xf numFmtId="197" fontId="0" fillId="5" borderId="0" xfId="2" applyNumberFormat="1" applyFont="1" applyFill="1" applyBorder="1" applyProtection="1"/>
    <xf numFmtId="197" fontId="7" fillId="5" borderId="12" xfId="2" applyNumberFormat="1" applyFont="1" applyFill="1" applyBorder="1" applyAlignment="1" applyProtection="1">
      <alignment horizontal="centerContinuous" vertical="center" wrapText="1"/>
    </xf>
    <xf numFmtId="197" fontId="7" fillId="5" borderId="56" xfId="2" applyNumberFormat="1" applyFont="1" applyFill="1" applyBorder="1" applyAlignment="1" applyProtection="1">
      <alignment horizontal="centerContinuous" vertical="center" wrapText="1"/>
    </xf>
    <xf numFmtId="197" fontId="7" fillId="5" borderId="48" xfId="2" applyNumberFormat="1" applyFont="1" applyFill="1" applyBorder="1" applyAlignment="1" applyProtection="1">
      <alignment horizontal="centerContinuous" vertical="center" wrapText="1"/>
    </xf>
    <xf numFmtId="197" fontId="7" fillId="5" borderId="4" xfId="2" applyNumberFormat="1" applyFont="1" applyFill="1" applyBorder="1" applyAlignment="1" applyProtection="1">
      <alignment horizontal="centerContinuous" vertical="center" wrapText="1"/>
    </xf>
    <xf numFmtId="197" fontId="4" fillId="5" borderId="0" xfId="2" applyNumberFormat="1" applyFont="1" applyFill="1" applyBorder="1" applyProtection="1"/>
    <xf numFmtId="197" fontId="4" fillId="0" borderId="0" xfId="2" applyNumberFormat="1" applyFont="1" applyProtection="1"/>
    <xf numFmtId="197" fontId="29" fillId="0" borderId="0" xfId="2" applyNumberFormat="1" applyFont="1" applyFill="1" applyBorder="1" applyProtection="1"/>
    <xf numFmtId="197" fontId="17" fillId="0" borderId="0" xfId="2" applyNumberFormat="1" applyFont="1" applyProtection="1"/>
    <xf numFmtId="197" fontId="0" fillId="0" borderId="0" xfId="2" applyNumberFormat="1" applyFont="1" applyFill="1" applyProtection="1"/>
    <xf numFmtId="193" fontId="1" fillId="0" borderId="2" xfId="5" applyNumberFormat="1" applyFill="1" applyBorder="1" applyProtection="1"/>
    <xf numFmtId="193" fontId="1" fillId="0" borderId="3" xfId="5" applyNumberFormat="1" applyFill="1" applyBorder="1" applyProtection="1"/>
    <xf numFmtId="0" fontId="38" fillId="2" borderId="14" xfId="0" applyFont="1" applyFill="1" applyBorder="1" applyAlignment="1" applyProtection="1">
      <alignment horizontal="centerContinuous" vertical="center" wrapText="1"/>
    </xf>
    <xf numFmtId="0" fontId="40" fillId="2" borderId="14" xfId="0" applyFont="1" applyFill="1" applyBorder="1" applyAlignment="1" applyProtection="1">
      <alignment horizontal="left" vertical="center"/>
    </xf>
    <xf numFmtId="1" fontId="38" fillId="2" borderId="14" xfId="0" applyNumberFormat="1" applyFont="1" applyFill="1" applyBorder="1" applyAlignment="1" applyProtection="1">
      <alignment horizontal="left" vertical="center"/>
    </xf>
    <xf numFmtId="1" fontId="39" fillId="2" borderId="14" xfId="0" applyNumberFormat="1" applyFont="1" applyFill="1" applyBorder="1" applyAlignment="1" applyProtection="1">
      <alignment horizontal="left" vertical="center"/>
    </xf>
    <xf numFmtId="0" fontId="38" fillId="0" borderId="14" xfId="0" applyFont="1" applyFill="1" applyBorder="1" applyAlignment="1" applyProtection="1">
      <alignment horizontal="centerContinuous" vertical="center"/>
    </xf>
    <xf numFmtId="0" fontId="41" fillId="0" borderId="14" xfId="0" applyFont="1" applyFill="1" applyBorder="1" applyAlignment="1" applyProtection="1">
      <alignment horizontal="centerContinuous" vertical="center"/>
    </xf>
    <xf numFmtId="0" fontId="41" fillId="0" borderId="14" xfId="0" applyFont="1" applyFill="1" applyBorder="1" applyAlignment="1" applyProtection="1">
      <alignment vertical="center"/>
    </xf>
    <xf numFmtId="3" fontId="38" fillId="0" borderId="14" xfId="0" applyNumberFormat="1" applyFont="1" applyFill="1" applyBorder="1" applyAlignment="1" applyProtection="1">
      <alignment horizontal="right" vertical="center"/>
    </xf>
    <xf numFmtId="3" fontId="53" fillId="0" borderId="14" xfId="0" applyNumberFormat="1" applyFont="1" applyFill="1" applyBorder="1" applyAlignment="1" applyProtection="1">
      <alignment horizontal="right"/>
    </xf>
    <xf numFmtId="0" fontId="40" fillId="0" borderId="14" xfId="0" applyFont="1" applyFill="1" applyBorder="1" applyAlignment="1" applyProtection="1">
      <alignment vertical="center"/>
    </xf>
    <xf numFmtId="3" fontId="40" fillId="0" borderId="14" xfId="0" applyNumberFormat="1" applyFont="1" applyFill="1" applyBorder="1" applyAlignment="1" applyProtection="1">
      <alignment horizontal="right" vertical="center"/>
    </xf>
    <xf numFmtId="4" fontId="39" fillId="0" borderId="14" xfId="0" applyNumberFormat="1" applyFont="1" applyFill="1" applyBorder="1" applyAlignment="1" applyProtection="1">
      <alignment horizontal="right" vertical="center"/>
    </xf>
    <xf numFmtId="0" fontId="40" fillId="0" borderId="14" xfId="0" applyFont="1" applyFill="1" applyBorder="1" applyAlignment="1" applyProtection="1">
      <alignment horizontal="left" vertical="center"/>
    </xf>
    <xf numFmtId="0" fontId="38" fillId="0" borderId="14" xfId="0" applyFont="1" applyFill="1" applyBorder="1" applyAlignment="1" applyProtection="1">
      <alignment horizontal="left" vertical="center"/>
    </xf>
    <xf numFmtId="1" fontId="38" fillId="0" borderId="14" xfId="0" applyNumberFormat="1" applyFont="1" applyFill="1" applyBorder="1" applyAlignment="1" applyProtection="1">
      <alignment horizontal="left" vertical="center"/>
    </xf>
    <xf numFmtId="3" fontId="41" fillId="0" borderId="14" xfId="0" applyNumberFormat="1" applyFont="1" applyFill="1" applyBorder="1" applyAlignment="1" applyProtection="1">
      <alignment horizontal="center" vertical="center"/>
      <protection locked="0"/>
    </xf>
    <xf numFmtId="3" fontId="41" fillId="0" borderId="14" xfId="0" applyNumberFormat="1" applyFont="1" applyFill="1" applyBorder="1" applyAlignment="1" applyProtection="1">
      <alignment horizontal="right" vertical="center"/>
      <protection locked="0"/>
    </xf>
    <xf numFmtId="0" fontId="41" fillId="0" borderId="14" xfId="0" applyFont="1" applyFill="1" applyBorder="1" applyAlignment="1" applyProtection="1">
      <alignment horizontal="left" vertical="center"/>
    </xf>
    <xf numFmtId="3" fontId="41" fillId="0" borderId="14" xfId="0" applyNumberFormat="1" applyFont="1" applyFill="1" applyBorder="1" applyAlignment="1" applyProtection="1">
      <alignment horizontal="centerContinuous" vertical="center"/>
    </xf>
    <xf numFmtId="3" fontId="40" fillId="0" borderId="14" xfId="0" applyNumberFormat="1" applyFont="1" applyFill="1" applyBorder="1" applyAlignment="1" applyProtection="1">
      <alignment vertical="center"/>
    </xf>
    <xf numFmtId="193" fontId="53" fillId="0" borderId="14" xfId="5" applyNumberFormat="1" applyFont="1" applyFill="1" applyBorder="1" applyAlignment="1" applyProtection="1">
      <alignment horizontal="right"/>
    </xf>
    <xf numFmtId="1" fontId="38" fillId="0" borderId="14" xfId="0" applyNumberFormat="1" applyFont="1" applyFill="1" applyBorder="1" applyAlignment="1" applyProtection="1">
      <alignment horizontal="center" vertical="center" wrapText="1"/>
    </xf>
    <xf numFmtId="0" fontId="41" fillId="0" borderId="14" xfId="0" applyFont="1" applyFill="1" applyBorder="1" applyAlignment="1" applyProtection="1">
      <alignment horizontal="centerContinuous" vertical="center" wrapText="1"/>
    </xf>
    <xf numFmtId="0" fontId="41" fillId="0" borderId="14" xfId="0" applyFont="1" applyFill="1" applyBorder="1" applyAlignment="1" applyProtection="1">
      <alignment horizontal="center" vertical="center" wrapText="1"/>
    </xf>
    <xf numFmtId="1" fontId="41" fillId="0" borderId="14" xfId="0" applyNumberFormat="1" applyFont="1" applyFill="1" applyBorder="1" applyAlignment="1" applyProtection="1">
      <alignment horizontal="centerContinuous" vertical="center" wrapText="1"/>
    </xf>
    <xf numFmtId="0" fontId="56" fillId="0" borderId="14" xfId="0" applyFont="1" applyFill="1" applyBorder="1" applyAlignment="1" applyProtection="1">
      <alignment horizontal="centerContinuous" vertical="center" wrapText="1"/>
    </xf>
    <xf numFmtId="3" fontId="41" fillId="0" borderId="14" xfId="0" applyNumberFormat="1" applyFont="1" applyFill="1" applyBorder="1" applyAlignment="1" applyProtection="1">
      <alignment horizontal="right" vertical="center"/>
    </xf>
    <xf numFmtId="4" fontId="41" fillId="0" borderId="14" xfId="0" applyNumberFormat="1" applyFont="1" applyFill="1" applyBorder="1" applyAlignment="1" applyProtection="1">
      <alignment horizontal="right" vertical="center"/>
    </xf>
    <xf numFmtId="4" fontId="40" fillId="0" borderId="14" xfId="0" applyNumberFormat="1" applyFont="1" applyFill="1" applyBorder="1" applyAlignment="1" applyProtection="1">
      <alignment horizontal="right" vertical="center"/>
    </xf>
    <xf numFmtId="1" fontId="41" fillId="0" borderId="14" xfId="0" applyNumberFormat="1" applyFont="1" applyFill="1" applyBorder="1" applyAlignment="1" applyProtection="1">
      <alignment horizontal="left" vertical="center"/>
    </xf>
    <xf numFmtId="196" fontId="40" fillId="0" borderId="14" xfId="5" applyNumberFormat="1" applyFont="1" applyFill="1" applyBorder="1" applyAlignment="1" applyProtection="1">
      <alignment horizontal="centerContinuous" vertical="center"/>
    </xf>
    <xf numFmtId="2" fontId="40" fillId="0" borderId="14" xfId="5" applyNumberFormat="1" applyFont="1" applyFill="1" applyBorder="1" applyAlignment="1" applyProtection="1">
      <alignment horizontal="right" vertical="center"/>
    </xf>
    <xf numFmtId="3" fontId="41" fillId="0" borderId="14" xfId="0" applyNumberFormat="1" applyFont="1" applyFill="1" applyBorder="1" applyAlignment="1" applyProtection="1">
      <alignment horizontal="left" vertical="center"/>
      <protection locked="0"/>
    </xf>
    <xf numFmtId="1" fontId="40" fillId="0" borderId="14" xfId="0" applyNumberFormat="1" applyFont="1" applyFill="1" applyBorder="1" applyAlignment="1" applyProtection="1">
      <alignment horizontal="left" vertical="center"/>
    </xf>
    <xf numFmtId="3" fontId="40" fillId="0" borderId="14" xfId="0" applyNumberFormat="1" applyFont="1" applyFill="1" applyBorder="1" applyAlignment="1" applyProtection="1">
      <alignment horizontal="right" vertical="center"/>
      <protection locked="0"/>
    </xf>
    <xf numFmtId="0" fontId="64" fillId="0" borderId="14" xfId="0" applyFont="1" applyFill="1" applyBorder="1" applyProtection="1"/>
    <xf numFmtId="193" fontId="41" fillId="0" borderId="14" xfId="5" applyNumberFormat="1" applyFont="1" applyFill="1" applyBorder="1" applyAlignment="1" applyProtection="1">
      <alignment horizontal="right" vertical="center"/>
    </xf>
    <xf numFmtId="10" fontId="41" fillId="0" borderId="14" xfId="5" applyNumberFormat="1" applyFont="1" applyFill="1" applyBorder="1" applyAlignment="1" applyProtection="1">
      <alignment horizontal="right" vertical="center"/>
    </xf>
    <xf numFmtId="1" fontId="41" fillId="0" borderId="14" xfId="0" applyNumberFormat="1" applyFont="1" applyFill="1" applyBorder="1" applyAlignment="1" applyProtection="1">
      <alignment horizontal="center" vertical="center" wrapText="1"/>
    </xf>
    <xf numFmtId="4" fontId="41" fillId="0" borderId="14" xfId="0" applyNumberFormat="1" applyFont="1" applyFill="1" applyBorder="1" applyAlignment="1" applyProtection="1">
      <alignment horizontal="center" vertical="center"/>
    </xf>
    <xf numFmtId="1" fontId="56" fillId="0" borderId="14" xfId="0" applyNumberFormat="1" applyFont="1" applyFill="1" applyBorder="1" applyAlignment="1" applyProtection="1">
      <alignment horizontal="center" vertical="center" wrapText="1"/>
    </xf>
    <xf numFmtId="49" fontId="38" fillId="2" borderId="14" xfId="0" applyNumberFormat="1" applyFont="1" applyFill="1" applyBorder="1" applyAlignment="1" applyProtection="1">
      <alignment horizontal="left" vertical="center"/>
    </xf>
    <xf numFmtId="194" fontId="39" fillId="2" borderId="14" xfId="0" applyNumberFormat="1" applyFont="1" applyFill="1" applyBorder="1" applyAlignment="1" applyProtection="1">
      <alignment horizontal="left" vertical="center"/>
    </xf>
    <xf numFmtId="0" fontId="41" fillId="5" borderId="14" xfId="0" applyFont="1" applyFill="1" applyBorder="1" applyAlignment="1">
      <alignment horizontal="left" vertical="center"/>
    </xf>
    <xf numFmtId="49" fontId="40" fillId="2" borderId="14" xfId="0" applyNumberFormat="1" applyFont="1" applyFill="1" applyBorder="1" applyAlignment="1" applyProtection="1">
      <alignment horizontal="left" vertical="center"/>
    </xf>
    <xf numFmtId="0" fontId="41" fillId="2" borderId="14" xfId="0" applyFont="1" applyFill="1" applyBorder="1" applyAlignment="1">
      <alignment horizontal="left" vertical="center"/>
    </xf>
    <xf numFmtId="49" fontId="39" fillId="2" borderId="14" xfId="0" applyNumberFormat="1" applyFont="1" applyFill="1" applyBorder="1" applyAlignment="1" applyProtection="1">
      <alignment horizontal="left" vertical="center"/>
    </xf>
    <xf numFmtId="49" fontId="41" fillId="2" borderId="14" xfId="0" applyNumberFormat="1" applyFont="1" applyFill="1" applyBorder="1" applyAlignment="1" applyProtection="1">
      <alignment horizontal="left" vertical="center"/>
    </xf>
    <xf numFmtId="49" fontId="41" fillId="5" borderId="14" xfId="0" applyNumberFormat="1" applyFont="1" applyFill="1" applyBorder="1" applyAlignment="1" applyProtection="1">
      <alignment horizontal="left" vertical="center"/>
    </xf>
    <xf numFmtId="0" fontId="18" fillId="0" borderId="14" xfId="0" applyFont="1" applyFill="1" applyBorder="1" applyAlignment="1" applyProtection="1">
      <alignment horizontal="center" vertical="center" wrapText="1"/>
    </xf>
    <xf numFmtId="0" fontId="52" fillId="0" borderId="14" xfId="0" applyFont="1" applyFill="1" applyBorder="1" applyAlignment="1" applyProtection="1">
      <alignment horizontal="centerContinuous" vertical="center"/>
    </xf>
    <xf numFmtId="0" fontId="52" fillId="0" borderId="14"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4" xfId="0" applyFont="1" applyFill="1" applyBorder="1" applyAlignment="1" applyProtection="1">
      <alignment horizontal="centerContinuous" vertical="center" wrapText="1"/>
    </xf>
    <xf numFmtId="3" fontId="7" fillId="0" borderId="14" xfId="0" applyNumberFormat="1" applyFont="1" applyFill="1" applyBorder="1" applyAlignment="1" applyProtection="1">
      <alignment horizontal="right"/>
    </xf>
    <xf numFmtId="3" fontId="4" fillId="0" borderId="14" xfId="0" applyNumberFormat="1" applyFont="1" applyFill="1" applyBorder="1" applyAlignment="1" applyProtection="1">
      <alignment horizontal="right"/>
    </xf>
    <xf numFmtId="196" fontId="7" fillId="0" borderId="14" xfId="5" applyNumberFormat="1" applyFont="1" applyFill="1" applyBorder="1" applyAlignment="1" applyProtection="1">
      <alignment horizontal="center"/>
      <protection locked="0"/>
    </xf>
    <xf numFmtId="3" fontId="4" fillId="0" borderId="14" xfId="0" applyNumberFormat="1" applyFont="1" applyFill="1" applyBorder="1" applyAlignment="1" applyProtection="1">
      <alignment horizontal="right"/>
      <protection locked="0"/>
    </xf>
    <xf numFmtId="193" fontId="7" fillId="0" borderId="14" xfId="5" applyNumberFormat="1" applyFont="1" applyFill="1" applyBorder="1" applyAlignment="1" applyProtection="1">
      <alignment horizontal="right"/>
    </xf>
    <xf numFmtId="1" fontId="7" fillId="0" borderId="14" xfId="0" applyNumberFormat="1" applyFont="1" applyFill="1" applyBorder="1" applyAlignment="1" applyProtection="1">
      <alignment horizontal="center" vertical="center" wrapText="1"/>
    </xf>
    <xf numFmtId="0" fontId="41" fillId="0" borderId="10" xfId="0" applyFont="1" applyFill="1" applyBorder="1" applyAlignment="1" applyProtection="1">
      <alignment horizontal="centerContinuous" vertical="center" wrapText="1"/>
    </xf>
    <xf numFmtId="0" fontId="41" fillId="0" borderId="3" xfId="0" applyFont="1" applyFill="1" applyBorder="1" applyAlignment="1" applyProtection="1">
      <alignment horizontal="centerContinuous" vertical="center" wrapText="1"/>
    </xf>
    <xf numFmtId="1" fontId="38" fillId="2" borderId="12" xfId="0" applyNumberFormat="1" applyFont="1" applyFill="1" applyBorder="1" applyAlignment="1" applyProtection="1">
      <alignment horizontal="left" vertical="center"/>
    </xf>
    <xf numFmtId="1" fontId="38" fillId="2" borderId="11" xfId="0" applyNumberFormat="1" applyFont="1" applyFill="1" applyBorder="1" applyAlignment="1" applyProtection="1">
      <alignment horizontal="left" vertical="center"/>
    </xf>
    <xf numFmtId="0" fontId="41" fillId="2" borderId="12" xfId="0" applyFont="1" applyFill="1" applyBorder="1" applyAlignment="1">
      <alignment horizontal="left"/>
    </xf>
    <xf numFmtId="0" fontId="41" fillId="2" borderId="11" xfId="0" applyFont="1" applyFill="1" applyBorder="1" applyAlignment="1">
      <alignment horizontal="left"/>
    </xf>
    <xf numFmtId="4" fontId="39" fillId="0" borderId="14" xfId="0" applyNumberFormat="1" applyFont="1" applyFill="1" applyBorder="1" applyAlignment="1" applyProtection="1">
      <alignment horizontal="right"/>
    </xf>
    <xf numFmtId="0" fontId="18" fillId="0" borderId="14" xfId="0" applyFont="1" applyFill="1" applyBorder="1" applyAlignment="1" applyProtection="1">
      <alignment horizontal="centerContinuous" vertical="center"/>
    </xf>
    <xf numFmtId="4" fontId="38" fillId="0" borderId="14" xfId="0" applyNumberFormat="1" applyFont="1" applyFill="1" applyBorder="1" applyAlignment="1" applyProtection="1">
      <alignment horizontal="right"/>
    </xf>
    <xf numFmtId="1" fontId="38" fillId="0" borderId="14" xfId="0" applyNumberFormat="1" applyFont="1" applyFill="1" applyBorder="1" applyAlignment="1" applyProtection="1">
      <alignment horizontal="left"/>
    </xf>
    <xf numFmtId="3" fontId="38" fillId="0" borderId="14" xfId="0" applyNumberFormat="1" applyFont="1" applyFill="1" applyBorder="1" applyAlignment="1" applyProtection="1">
      <alignment horizontal="left"/>
    </xf>
    <xf numFmtId="3" fontId="38" fillId="0" borderId="14" xfId="0" applyNumberFormat="1" applyFont="1" applyFill="1" applyBorder="1" applyAlignment="1" applyProtection="1">
      <alignment horizontal="right"/>
    </xf>
    <xf numFmtId="0" fontId="40" fillId="0" borderId="14" xfId="0" applyFont="1" applyFill="1" applyBorder="1" applyProtection="1"/>
    <xf numFmtId="0" fontId="41" fillId="0" borderId="14" xfId="0" applyFont="1" applyFill="1" applyBorder="1" applyProtection="1"/>
    <xf numFmtId="9" fontId="38" fillId="0" borderId="14" xfId="5" applyNumberFormat="1" applyFont="1" applyFill="1" applyBorder="1" applyAlignment="1" applyProtection="1">
      <alignment horizontal="right"/>
    </xf>
    <xf numFmtId="193" fontId="38" fillId="0" borderId="14" xfId="5" applyNumberFormat="1" applyFont="1" applyFill="1" applyBorder="1" applyAlignment="1" applyProtection="1">
      <alignment horizontal="right"/>
    </xf>
    <xf numFmtId="1" fontId="38" fillId="0" borderId="14" xfId="0" applyNumberFormat="1" applyFont="1" applyFill="1" applyBorder="1" applyAlignment="1" applyProtection="1">
      <alignment horizontal="center" wrapText="1"/>
      <protection locked="0"/>
    </xf>
    <xf numFmtId="1" fontId="38" fillId="0" borderId="14" xfId="0" applyNumberFormat="1" applyFont="1" applyFill="1" applyBorder="1" applyAlignment="1" applyProtection="1">
      <alignment horizontal="center" wrapText="1"/>
    </xf>
    <xf numFmtId="1" fontId="53" fillId="0" borderId="14" xfId="0" applyNumberFormat="1" applyFont="1" applyFill="1" applyBorder="1" applyAlignment="1" applyProtection="1">
      <alignment horizontal="center" wrapText="1"/>
    </xf>
    <xf numFmtId="0" fontId="27" fillId="0" borderId="12" xfId="0" applyFont="1" applyBorder="1" applyAlignment="1" applyProtection="1">
      <alignment horizontal="left"/>
    </xf>
    <xf numFmtId="0" fontId="27" fillId="0" borderId="11" xfId="0" applyFont="1" applyFill="1" applyBorder="1" applyAlignment="1" applyProtection="1">
      <alignment horizontal="left"/>
    </xf>
    <xf numFmtId="0" fontId="28" fillId="0" borderId="11" xfId="0" applyFont="1" applyFill="1" applyBorder="1" applyAlignment="1" applyProtection="1">
      <alignment horizontal="left"/>
    </xf>
    <xf numFmtId="0" fontId="27" fillId="0" borderId="11" xfId="0" applyFont="1" applyBorder="1" applyProtection="1"/>
    <xf numFmtId="0" fontId="29" fillId="0" borderId="11" xfId="0" applyFont="1" applyFill="1" applyBorder="1" applyAlignment="1" applyProtection="1">
      <alignment horizontal="left"/>
    </xf>
    <xf numFmtId="0" fontId="29" fillId="0" borderId="11" xfId="0" applyFont="1" applyFill="1" applyBorder="1" applyProtection="1"/>
    <xf numFmtId="0" fontId="17" fillId="0" borderId="14" xfId="0" applyFont="1" applyFill="1" applyBorder="1" applyProtection="1"/>
    <xf numFmtId="3" fontId="18" fillId="0" borderId="14" xfId="0" applyNumberFormat="1" applyFont="1" applyFill="1" applyBorder="1" applyProtection="1"/>
    <xf numFmtId="9" fontId="18" fillId="0" borderId="14" xfId="5" applyFont="1" applyFill="1" applyBorder="1" applyProtection="1"/>
    <xf numFmtId="0" fontId="18" fillId="0" borderId="14" xfId="0" applyFont="1" applyFill="1" applyBorder="1" applyProtection="1"/>
    <xf numFmtId="0" fontId="18" fillId="0" borderId="14" xfId="0" applyFont="1" applyFill="1" applyBorder="1" applyAlignment="1" applyProtection="1">
      <alignment horizontal="centerContinuous" vertical="center" wrapText="1"/>
    </xf>
    <xf numFmtId="0" fontId="18" fillId="0" borderId="14" xfId="0" applyNumberFormat="1" applyFont="1" applyFill="1" applyBorder="1" applyAlignment="1" applyProtection="1"/>
    <xf numFmtId="0" fontId="17" fillId="0" borderId="14" xfId="0" applyNumberFormat="1" applyFont="1" applyFill="1" applyBorder="1" applyAlignment="1" applyProtection="1"/>
    <xf numFmtId="9" fontId="18" fillId="0" borderId="14" xfId="5" applyFont="1" applyFill="1" applyBorder="1" applyAlignment="1" applyProtection="1"/>
    <xf numFmtId="3" fontId="17" fillId="0" borderId="14" xfId="0" applyNumberFormat="1" applyFont="1" applyFill="1" applyBorder="1" applyProtection="1"/>
    <xf numFmtId="3" fontId="17" fillId="0" borderId="14" xfId="0" applyNumberFormat="1" applyFont="1" applyFill="1" applyBorder="1" applyAlignment="1" applyProtection="1"/>
    <xf numFmtId="9" fontId="17" fillId="0" borderId="14" xfId="5" applyFont="1" applyFill="1" applyBorder="1" applyProtection="1"/>
    <xf numFmtId="9" fontId="18" fillId="0" borderId="14" xfId="0" applyNumberFormat="1" applyFont="1" applyFill="1" applyBorder="1" applyAlignment="1" applyProtection="1"/>
    <xf numFmtId="9" fontId="17" fillId="0" borderId="14" xfId="5" applyFont="1" applyFill="1" applyBorder="1" applyAlignment="1" applyProtection="1"/>
    <xf numFmtId="3" fontId="18" fillId="0" borderId="14" xfId="0" applyNumberFormat="1" applyFont="1" applyFill="1" applyBorder="1" applyAlignment="1" applyProtection="1"/>
    <xf numFmtId="9" fontId="17" fillId="0" borderId="14" xfId="5" applyFont="1" applyFill="1" applyBorder="1" applyProtection="1">
      <protection locked="0"/>
    </xf>
    <xf numFmtId="0" fontId="17" fillId="0" borderId="14" xfId="0" applyFont="1" applyFill="1" applyBorder="1" applyAlignment="1" applyProtection="1">
      <alignment wrapText="1"/>
    </xf>
    <xf numFmtId="0" fontId="17" fillId="0" borderId="14" xfId="0" applyFont="1" applyFill="1" applyBorder="1" applyProtection="1">
      <protection locked="0"/>
    </xf>
    <xf numFmtId="9" fontId="17" fillId="0" borderId="14" xfId="5" applyFont="1" applyFill="1" applyBorder="1" applyAlignment="1" applyProtection="1">
      <alignment wrapText="1"/>
    </xf>
    <xf numFmtId="193" fontId="17" fillId="0" borderId="14" xfId="5" applyNumberFormat="1" applyFont="1" applyFill="1" applyBorder="1" applyProtection="1"/>
    <xf numFmtId="177" fontId="17" fillId="0" borderId="14" xfId="2" applyFont="1" applyFill="1" applyBorder="1" applyProtection="1">
      <protection locked="0"/>
    </xf>
    <xf numFmtId="197" fontId="18" fillId="0" borderId="14" xfId="2" applyNumberFormat="1" applyFont="1" applyFill="1" applyBorder="1" applyProtection="1"/>
    <xf numFmtId="0" fontId="65" fillId="0" borderId="0" xfId="0" applyFont="1" applyProtection="1"/>
    <xf numFmtId="0" fontId="8" fillId="0" borderId="14" xfId="0" applyFont="1" applyFill="1" applyBorder="1" applyAlignment="1" applyProtection="1">
      <alignment horizontal="centerContinuous" vertical="center" wrapText="1"/>
    </xf>
    <xf numFmtId="0" fontId="8" fillId="0" borderId="14" xfId="0" applyFont="1" applyFill="1" applyBorder="1" applyProtection="1"/>
    <xf numFmtId="0" fontId="8" fillId="0" borderId="14" xfId="0" applyFont="1" applyFill="1" applyBorder="1" applyAlignment="1" applyProtection="1">
      <alignment horizontal="justify" vertical="center" wrapText="1"/>
    </xf>
    <xf numFmtId="0" fontId="5" fillId="0" borderId="14" xfId="0" applyFont="1" applyFill="1" applyBorder="1" applyAlignment="1" applyProtection="1">
      <alignment wrapText="1"/>
    </xf>
    <xf numFmtId="0" fontId="8" fillId="0" borderId="0" xfId="0" applyFont="1" applyFill="1" applyProtection="1"/>
    <xf numFmtId="0" fontId="5" fillId="0" borderId="0" xfId="0" applyFont="1" applyFill="1" applyBorder="1" applyProtection="1"/>
    <xf numFmtId="0" fontId="61" fillId="0" borderId="0" xfId="0" applyFont="1" applyFill="1" applyBorder="1" applyAlignment="1" applyProtection="1">
      <alignment horizontal="right"/>
    </xf>
    <xf numFmtId="0" fontId="5" fillId="8" borderId="0" xfId="0" applyFont="1" applyFill="1" applyProtection="1"/>
    <xf numFmtId="0" fontId="8" fillId="0" borderId="2" xfId="0" applyFont="1" applyFill="1" applyBorder="1" applyAlignment="1" applyProtection="1">
      <alignment horizontal="left" wrapText="1"/>
    </xf>
    <xf numFmtId="0" fontId="5" fillId="0" borderId="2" xfId="0" applyFont="1" applyFill="1" applyBorder="1" applyAlignment="1" applyProtection="1">
      <alignment horizontal="left" wrapText="1"/>
    </xf>
    <xf numFmtId="0" fontId="8" fillId="0" borderId="2" xfId="0" applyFont="1" applyBorder="1" applyAlignment="1" applyProtection="1">
      <alignment horizontal="left" wrapText="1"/>
    </xf>
    <xf numFmtId="0" fontId="8" fillId="0" borderId="14" xfId="0" applyNumberFormat="1" applyFont="1" applyFill="1" applyBorder="1" applyAlignment="1" applyProtection="1">
      <alignment wrapText="1"/>
    </xf>
    <xf numFmtId="0" fontId="8" fillId="0" borderId="14" xfId="0" applyFont="1" applyFill="1" applyBorder="1" applyAlignment="1" applyProtection="1">
      <alignment wrapText="1"/>
    </xf>
    <xf numFmtId="0" fontId="5" fillId="0" borderId="14" xfId="0" applyNumberFormat="1" applyFont="1" applyFill="1" applyBorder="1" applyAlignment="1" applyProtection="1">
      <alignment wrapText="1"/>
    </xf>
    <xf numFmtId="197" fontId="8" fillId="0" borderId="14" xfId="2" applyNumberFormat="1" applyFont="1" applyFill="1" applyBorder="1" applyAlignment="1" applyProtection="1">
      <alignment wrapText="1"/>
    </xf>
    <xf numFmtId="3" fontId="41" fillId="0" borderId="37" xfId="0" applyNumberFormat="1" applyFont="1" applyFill="1" applyBorder="1" applyAlignment="1" applyProtection="1">
      <alignment horizontal="center" vertical="center" wrapText="1"/>
      <protection locked="0"/>
    </xf>
    <xf numFmtId="3" fontId="41" fillId="0" borderId="36" xfId="0" applyNumberFormat="1" applyFont="1" applyFill="1" applyBorder="1" applyAlignment="1" applyProtection="1">
      <alignment vertical="center"/>
    </xf>
    <xf numFmtId="3" fontId="40" fillId="0" borderId="36" xfId="0" applyNumberFormat="1" applyFont="1" applyFill="1" applyBorder="1" applyAlignment="1" applyProtection="1">
      <alignment vertical="center"/>
    </xf>
    <xf numFmtId="3" fontId="41" fillId="0" borderId="16" xfId="0" applyNumberFormat="1" applyFont="1" applyFill="1" applyBorder="1" applyAlignment="1" applyProtection="1">
      <alignment vertical="center"/>
    </xf>
    <xf numFmtId="3" fontId="41" fillId="0" borderId="37" xfId="0" applyNumberFormat="1" applyFont="1" applyFill="1" applyBorder="1" applyAlignment="1" applyProtection="1">
      <alignment vertical="center"/>
      <protection locked="0"/>
    </xf>
    <xf numFmtId="3" fontId="41" fillId="0" borderId="36" xfId="0" applyNumberFormat="1" applyFont="1" applyFill="1" applyBorder="1" applyAlignment="1" applyProtection="1">
      <alignment vertical="center"/>
      <protection locked="0"/>
    </xf>
    <xf numFmtId="3" fontId="41" fillId="0" borderId="34" xfId="0" applyNumberFormat="1" applyFont="1" applyFill="1" applyBorder="1" applyAlignment="1" applyProtection="1">
      <alignment vertical="center"/>
      <protection locked="0"/>
    </xf>
    <xf numFmtId="3" fontId="41" fillId="0" borderId="34" xfId="0" applyNumberFormat="1" applyFont="1" applyFill="1" applyBorder="1" applyAlignment="1" applyProtection="1">
      <alignment vertical="center"/>
    </xf>
    <xf numFmtId="3" fontId="40" fillId="0" borderId="34" xfId="0" applyNumberFormat="1" applyFont="1" applyFill="1" applyBorder="1" applyAlignment="1" applyProtection="1">
      <alignment vertical="center"/>
    </xf>
    <xf numFmtId="3" fontId="40" fillId="0" borderId="36" xfId="0" applyNumberFormat="1" applyFont="1" applyFill="1" applyBorder="1" applyAlignment="1" applyProtection="1">
      <alignment vertical="center"/>
      <protection locked="0"/>
    </xf>
    <xf numFmtId="0" fontId="52" fillId="0" borderId="36" xfId="0" applyFont="1" applyFill="1" applyBorder="1" applyAlignment="1" applyProtection="1">
      <alignment vertical="center" wrapText="1"/>
    </xf>
    <xf numFmtId="0" fontId="52" fillId="0" borderId="0" xfId="0" applyFont="1" applyFill="1" applyAlignment="1" applyProtection="1">
      <alignment wrapText="1"/>
    </xf>
    <xf numFmtId="0" fontId="66" fillId="0" borderId="0" xfId="0" applyFont="1" applyFill="1" applyAlignment="1" applyProtection="1">
      <alignment wrapText="1"/>
    </xf>
    <xf numFmtId="0" fontId="67" fillId="0" borderId="0" xfId="0" applyFont="1" applyFill="1" applyAlignment="1" applyProtection="1">
      <alignment wrapText="1"/>
    </xf>
    <xf numFmtId="0" fontId="52" fillId="0" borderId="12" xfId="0" applyFont="1" applyFill="1" applyBorder="1" applyAlignment="1" applyProtection="1">
      <alignment wrapText="1"/>
    </xf>
    <xf numFmtId="0" fontId="52" fillId="0" borderId="11" xfId="0" applyFont="1" applyFill="1" applyBorder="1" applyAlignment="1" applyProtection="1">
      <alignment wrapText="1"/>
    </xf>
    <xf numFmtId="0" fontId="52" fillId="0" borderId="57" xfId="0" applyFont="1" applyFill="1" applyBorder="1" applyAlignment="1" applyProtection="1">
      <alignment wrapText="1"/>
    </xf>
    <xf numFmtId="0" fontId="52" fillId="0" borderId="0" xfId="0" applyFont="1" applyFill="1" applyAlignment="1" applyProtection="1">
      <alignment horizontal="left" wrapText="1"/>
    </xf>
    <xf numFmtId="0" fontId="52" fillId="0" borderId="10" xfId="0" applyFont="1" applyFill="1" applyBorder="1" applyAlignment="1" applyProtection="1">
      <alignment horizontal="centerContinuous" vertical="center" wrapText="1"/>
    </xf>
    <xf numFmtId="0" fontId="52" fillId="0" borderId="3" xfId="0" applyFont="1" applyFill="1" applyBorder="1" applyAlignment="1" applyProtection="1">
      <alignment horizontal="centerContinuous" vertical="center" wrapText="1"/>
    </xf>
    <xf numFmtId="0" fontId="52" fillId="0" borderId="37" xfId="0" applyFont="1" applyFill="1" applyBorder="1" applyAlignment="1" applyProtection="1">
      <alignment vertical="center" wrapText="1"/>
    </xf>
    <xf numFmtId="0" fontId="66" fillId="0" borderId="36" xfId="0" applyFont="1" applyFill="1" applyBorder="1" applyAlignment="1" applyProtection="1">
      <alignment horizontal="left" vertical="center" wrapText="1"/>
    </xf>
    <xf numFmtId="0" fontId="66" fillId="0" borderId="36" xfId="0" applyFont="1" applyFill="1" applyBorder="1" applyAlignment="1" applyProtection="1">
      <alignment vertical="center" wrapText="1"/>
    </xf>
    <xf numFmtId="0" fontId="52" fillId="0" borderId="16" xfId="0" applyFont="1" applyFill="1" applyBorder="1" applyAlignment="1" applyProtection="1">
      <alignment vertical="center" wrapText="1"/>
    </xf>
    <xf numFmtId="0" fontId="52" fillId="0" borderId="34" xfId="0" applyFont="1" applyFill="1" applyBorder="1" applyAlignment="1" applyProtection="1">
      <alignment vertical="center" wrapText="1"/>
    </xf>
    <xf numFmtId="0" fontId="66" fillId="0" borderId="34" xfId="0" applyFont="1" applyFill="1" applyBorder="1" applyAlignment="1" applyProtection="1">
      <alignment vertical="center" wrapText="1"/>
    </xf>
    <xf numFmtId="0" fontId="17" fillId="0" borderId="2" xfId="0" applyFont="1" applyFill="1" applyBorder="1" applyAlignment="1" applyProtection="1">
      <alignment horizontal="left" wrapText="1"/>
    </xf>
    <xf numFmtId="0" fontId="52" fillId="0" borderId="2" xfId="0" applyFont="1" applyFill="1" applyBorder="1" applyAlignment="1" applyProtection="1">
      <alignment vertical="center" wrapText="1"/>
    </xf>
    <xf numFmtId="0" fontId="66" fillId="0" borderId="0" xfId="0" applyFont="1" applyFill="1" applyAlignment="1" applyProtection="1">
      <alignment vertical="center" wrapText="1"/>
    </xf>
    <xf numFmtId="0" fontId="66" fillId="0" borderId="0" xfId="0" applyFont="1" applyFill="1" applyBorder="1" applyAlignment="1" applyProtection="1">
      <alignment wrapText="1"/>
    </xf>
    <xf numFmtId="0" fontId="0" fillId="0" borderId="0" xfId="0" applyAlignment="1" applyProtection="1">
      <alignment wrapText="1"/>
    </xf>
    <xf numFmtId="0" fontId="8" fillId="0" borderId="10" xfId="0" applyFont="1" applyBorder="1" applyAlignment="1" applyProtection="1">
      <alignment horizontal="left" wrapText="1"/>
    </xf>
    <xf numFmtId="0" fontId="5" fillId="0" borderId="2" xfId="0" applyFont="1" applyBorder="1" applyAlignment="1" applyProtection="1">
      <alignment horizontal="left" wrapText="1"/>
    </xf>
    <xf numFmtId="0" fontId="8" fillId="0" borderId="3" xfId="0" applyFont="1" applyBorder="1" applyAlignment="1" applyProtection="1">
      <alignment horizontal="left" wrapText="1"/>
    </xf>
    <xf numFmtId="0" fontId="27" fillId="0" borderId="0" xfId="0" applyNumberFormat="1" applyFont="1" applyBorder="1" applyAlignment="1" applyProtection="1">
      <alignment horizontal="left" wrapText="1"/>
    </xf>
    <xf numFmtId="0" fontId="7" fillId="0" borderId="4" xfId="0" applyFont="1" applyFill="1" applyBorder="1" applyAlignment="1" applyProtection="1">
      <alignment horizontal="left" wrapText="1"/>
    </xf>
    <xf numFmtId="0" fontId="7" fillId="0" borderId="0" xfId="0" applyFont="1" applyBorder="1" applyAlignment="1" applyProtection="1">
      <alignment horizontal="left" wrapText="1"/>
    </xf>
    <xf numFmtId="0" fontId="5" fillId="0" borderId="56" xfId="0" applyFont="1" applyBorder="1" applyAlignment="1" applyProtection="1">
      <alignment horizontal="left" wrapText="1"/>
    </xf>
    <xf numFmtId="0" fontId="5" fillId="0" borderId="0" xfId="0" applyFont="1" applyBorder="1" applyAlignment="1" applyProtection="1">
      <alignment horizontal="left" wrapText="1"/>
    </xf>
    <xf numFmtId="0" fontId="8" fillId="0" borderId="12" xfId="0" applyFont="1" applyBorder="1" applyAlignment="1" applyProtection="1">
      <alignment horizontal="left" wrapText="1"/>
    </xf>
    <xf numFmtId="0" fontId="4" fillId="0" borderId="2" xfId="0" applyFont="1" applyFill="1" applyBorder="1" applyAlignment="1" applyProtection="1">
      <alignment wrapText="1"/>
    </xf>
    <xf numFmtId="0" fontId="4" fillId="0" borderId="11" xfId="0" applyFont="1" applyFill="1" applyBorder="1" applyAlignment="1" applyProtection="1">
      <alignment wrapText="1"/>
    </xf>
    <xf numFmtId="0" fontId="4" fillId="0" borderId="57" xfId="0" applyFont="1" applyFill="1" applyBorder="1" applyAlignment="1" applyProtection="1">
      <alignment wrapText="1"/>
    </xf>
    <xf numFmtId="0" fontId="0" fillId="6" borderId="0" xfId="0" applyFill="1" applyAlignment="1" applyProtection="1">
      <alignment wrapText="1"/>
    </xf>
    <xf numFmtId="0" fontId="0" fillId="0" borderId="0" xfId="0" applyAlignment="1" applyProtection="1">
      <alignment wrapText="1"/>
      <protection locked="0"/>
    </xf>
    <xf numFmtId="0" fontId="8" fillId="0" borderId="40" xfId="0" applyFont="1" applyBorder="1" applyAlignment="1" applyProtection="1">
      <alignment horizontal="left" wrapText="1"/>
    </xf>
    <xf numFmtId="3" fontId="0" fillId="0" borderId="40" xfId="0" applyNumberFormat="1" applyFill="1" applyBorder="1" applyProtection="1">
      <protection locked="0"/>
    </xf>
    <xf numFmtId="3" fontId="0" fillId="0" borderId="40" xfId="0" applyNumberFormat="1" applyBorder="1" applyProtection="1">
      <protection locked="0"/>
    </xf>
    <xf numFmtId="0" fontId="7" fillId="0" borderId="14" xfId="0" applyFont="1" applyBorder="1" applyAlignment="1" applyProtection="1">
      <alignment horizontal="centerContinuous" vertical="center" wrapText="1"/>
    </xf>
    <xf numFmtId="3" fontId="7" fillId="0" borderId="14" xfId="0" applyNumberFormat="1" applyFont="1" applyFill="1" applyBorder="1" applyProtection="1"/>
    <xf numFmtId="3" fontId="4" fillId="0" borderId="14" xfId="0" applyNumberFormat="1" applyFont="1" applyFill="1" applyBorder="1" applyProtection="1">
      <protection locked="0"/>
    </xf>
    <xf numFmtId="3" fontId="7" fillId="0" borderId="14" xfId="0" applyNumberFormat="1" applyFont="1" applyBorder="1" applyProtection="1"/>
    <xf numFmtId="3" fontId="4" fillId="0" borderId="14" xfId="0" applyNumberFormat="1" applyFont="1" applyFill="1" applyBorder="1" applyProtection="1"/>
    <xf numFmtId="3" fontId="7" fillId="0" borderId="14" xfId="0" applyNumberFormat="1" applyFont="1" applyBorder="1" applyAlignment="1" applyProtection="1">
      <alignment horizontal="centerContinuous" vertical="center" wrapText="1"/>
    </xf>
    <xf numFmtId="0" fontId="7" fillId="0" borderId="14" xfId="0" applyFont="1" applyBorder="1" applyProtection="1"/>
    <xf numFmtId="0" fontId="7" fillId="0" borderId="14" xfId="0" applyFont="1" applyFill="1" applyBorder="1" applyProtection="1"/>
    <xf numFmtId="3" fontId="7" fillId="0" borderId="14" xfId="0" applyNumberFormat="1" applyFont="1" applyFill="1" applyBorder="1" applyAlignment="1" applyProtection="1">
      <alignment horizontal="right" vertical="center" wrapText="1"/>
    </xf>
    <xf numFmtId="0" fontId="0" fillId="0" borderId="14" xfId="0" applyBorder="1" applyAlignment="1" applyProtection="1"/>
    <xf numFmtId="0" fontId="0" fillId="0" borderId="14" xfId="0" applyNumberFormat="1" applyBorder="1" applyAlignment="1" applyProtection="1"/>
    <xf numFmtId="49" fontId="0" fillId="0" borderId="14" xfId="0" applyNumberFormat="1" applyBorder="1" applyAlignment="1" applyProtection="1">
      <alignment horizontal="left"/>
    </xf>
    <xf numFmtId="3" fontId="0" fillId="0" borderId="14" xfId="0" applyNumberFormat="1" applyFill="1" applyBorder="1" applyProtection="1">
      <protection locked="0"/>
    </xf>
    <xf numFmtId="0" fontId="0" fillId="0" borderId="0" xfId="0" applyFill="1" applyBorder="1" applyAlignment="1" applyProtection="1">
      <alignment horizontal="centerContinuous" wrapText="1"/>
    </xf>
    <xf numFmtId="0" fontId="7" fillId="0" borderId="14" xfId="0" applyFont="1" applyBorder="1" applyAlignment="1" applyProtection="1">
      <alignment horizontal="left" wrapText="1"/>
    </xf>
    <xf numFmtId="0" fontId="8" fillId="0" borderId="14" xfId="0" applyFont="1" applyBorder="1" applyAlignment="1" applyProtection="1">
      <alignment horizontal="left" wrapText="1"/>
    </xf>
    <xf numFmtId="0" fontId="5" fillId="0" borderId="14" xfId="0" applyFont="1" applyBorder="1" applyAlignment="1" applyProtection="1">
      <alignment horizontal="left" wrapText="1"/>
    </xf>
    <xf numFmtId="0" fontId="5" fillId="8" borderId="14" xfId="0" applyFont="1" applyFill="1" applyBorder="1" applyAlignment="1" applyProtection="1">
      <alignment horizontal="left" wrapText="1"/>
    </xf>
    <xf numFmtId="0" fontId="5" fillId="6" borderId="14" xfId="0" applyFont="1" applyFill="1" applyBorder="1" applyAlignment="1" applyProtection="1">
      <alignment horizontal="left" wrapText="1"/>
    </xf>
    <xf numFmtId="0" fontId="8" fillId="0" borderId="14" xfId="0" applyFont="1" applyFill="1" applyBorder="1" applyAlignment="1" applyProtection="1">
      <alignment horizontal="left" wrapText="1"/>
    </xf>
    <xf numFmtId="0" fontId="7" fillId="0" borderId="14" xfId="0" applyFont="1" applyFill="1" applyBorder="1" applyAlignment="1" applyProtection="1">
      <alignment horizontal="left" wrapText="1"/>
    </xf>
    <xf numFmtId="0" fontId="5" fillId="0" borderId="14" xfId="0" applyFont="1" applyFill="1" applyBorder="1" applyAlignment="1" applyProtection="1">
      <alignment horizontal="left" wrapText="1"/>
    </xf>
    <xf numFmtId="0" fontId="7" fillId="0" borderId="14" xfId="0" applyNumberFormat="1" applyFont="1" applyBorder="1" applyAlignment="1" applyProtection="1">
      <alignment horizontal="left" wrapText="1"/>
    </xf>
    <xf numFmtId="0" fontId="0" fillId="0" borderId="14" xfId="0" applyNumberFormat="1" applyBorder="1" applyAlignment="1" applyProtection="1">
      <alignment horizontal="left" wrapText="1"/>
    </xf>
    <xf numFmtId="0" fontId="0" fillId="8" borderId="0" xfId="0" applyFill="1" applyAlignment="1" applyProtection="1">
      <alignment wrapText="1"/>
    </xf>
    <xf numFmtId="0" fontId="5" fillId="5" borderId="0" xfId="0" applyFont="1" applyFill="1" applyBorder="1" applyAlignment="1" applyProtection="1">
      <alignment wrapText="1"/>
    </xf>
    <xf numFmtId="0" fontId="8" fillId="5" borderId="0" xfId="0" applyFont="1" applyFill="1" applyBorder="1" applyAlignment="1" applyProtection="1">
      <alignment wrapText="1"/>
    </xf>
    <xf numFmtId="0" fontId="0" fillId="5" borderId="0" xfId="0" applyFill="1" applyAlignment="1" applyProtection="1">
      <alignment wrapText="1"/>
    </xf>
    <xf numFmtId="0" fontId="0" fillId="5" borderId="0" xfId="0" applyFill="1" applyAlignment="1" applyProtection="1">
      <alignment horizontal="left" wrapText="1"/>
    </xf>
    <xf numFmtId="197" fontId="7" fillId="0" borderId="14" xfId="2" applyNumberFormat="1"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23" fillId="0" borderId="14" xfId="0" applyFont="1" applyFill="1" applyBorder="1" applyProtection="1"/>
    <xf numFmtId="0" fontId="8" fillId="0" borderId="14" xfId="0" applyFont="1" applyFill="1" applyBorder="1" applyAlignment="1" applyProtection="1">
      <alignment horizontal="left" vertical="top" wrapText="1"/>
    </xf>
    <xf numFmtId="197" fontId="7" fillId="0" borderId="14" xfId="2" applyNumberFormat="1" applyFont="1" applyFill="1" applyBorder="1" applyProtection="1"/>
    <xf numFmtId="3" fontId="7" fillId="0" borderId="14" xfId="0" applyNumberFormat="1" applyFont="1" applyFill="1" applyBorder="1" applyProtection="1">
      <protection locked="0"/>
    </xf>
    <xf numFmtId="0" fontId="8" fillId="0" borderId="14" xfId="0" applyFont="1" applyFill="1" applyBorder="1" applyAlignment="1" applyProtection="1">
      <alignment horizontal="left" vertical="justify" wrapText="1"/>
    </xf>
    <xf numFmtId="9" fontId="7" fillId="0" borderId="14" xfId="5" applyFont="1" applyFill="1" applyBorder="1" applyProtection="1">
      <protection locked="0"/>
    </xf>
    <xf numFmtId="0" fontId="5" fillId="0" borderId="14" xfId="0" applyFont="1" applyFill="1" applyBorder="1" applyAlignment="1" applyProtection="1">
      <alignment horizontal="left" vertical="justify" wrapText="1"/>
    </xf>
    <xf numFmtId="197" fontId="4" fillId="0" borderId="14" xfId="2" applyNumberFormat="1" applyFont="1" applyFill="1" applyBorder="1" applyProtection="1"/>
    <xf numFmtId="9" fontId="4" fillId="0" borderId="14" xfId="5" applyFont="1" applyFill="1" applyBorder="1" applyProtection="1">
      <protection locked="0"/>
    </xf>
    <xf numFmtId="0" fontId="4" fillId="0" borderId="14" xfId="0" applyFont="1" applyFill="1" applyBorder="1" applyProtection="1"/>
    <xf numFmtId="197" fontId="7" fillId="0" borderId="14" xfId="2" applyNumberFormat="1" applyFont="1" applyFill="1" applyBorder="1" applyAlignment="1" applyProtection="1">
      <alignment horizontal="right" vertical="top" wrapText="1"/>
    </xf>
    <xf numFmtId="3" fontId="7" fillId="0" borderId="14" xfId="0" applyNumberFormat="1" applyFont="1" applyFill="1" applyBorder="1" applyAlignment="1" applyProtection="1">
      <alignment horizontal="right" vertical="top" wrapText="1"/>
    </xf>
    <xf numFmtId="9" fontId="23" fillId="0" borderId="14" xfId="5" applyFont="1" applyFill="1" applyBorder="1" applyProtection="1">
      <protection locked="0"/>
    </xf>
    <xf numFmtId="197" fontId="7" fillId="0" borderId="14" xfId="2" applyNumberFormat="1" applyFont="1" applyFill="1" applyBorder="1" applyAlignment="1" applyProtection="1">
      <alignment horizontal="right"/>
    </xf>
    <xf numFmtId="0" fontId="8" fillId="0" borderId="14" xfId="0" applyFont="1" applyFill="1" applyBorder="1" applyAlignment="1" applyProtection="1">
      <alignment horizontal="right"/>
    </xf>
    <xf numFmtId="197" fontId="8" fillId="0" borderId="14" xfId="2" applyNumberFormat="1" applyFont="1" applyFill="1" applyBorder="1" applyAlignment="1" applyProtection="1">
      <alignment horizontal="right"/>
    </xf>
    <xf numFmtId="197" fontId="4" fillId="0" borderId="14" xfId="2" applyNumberFormat="1" applyFont="1" applyFill="1" applyBorder="1" applyAlignment="1" applyProtection="1">
      <alignment horizontal="right"/>
    </xf>
    <xf numFmtId="0" fontId="5" fillId="0" borderId="14" xfId="0" applyFont="1" applyFill="1" applyBorder="1" applyAlignment="1" applyProtection="1">
      <alignment horizontal="right"/>
    </xf>
    <xf numFmtId="197" fontId="4" fillId="0" borderId="14" xfId="2" applyNumberFormat="1" applyFont="1" applyFill="1" applyBorder="1" applyProtection="1">
      <protection locked="0"/>
    </xf>
    <xf numFmtId="3" fontId="15" fillId="0" borderId="14" xfId="0" applyNumberFormat="1" applyFont="1" applyFill="1" applyBorder="1" applyAlignment="1" applyProtection="1">
      <alignment horizontal="left" wrapText="1"/>
    </xf>
    <xf numFmtId="0" fontId="28" fillId="2" borderId="4" xfId="0" applyFont="1" applyFill="1" applyBorder="1" applyAlignment="1" applyProtection="1">
      <alignment horizontal="left"/>
    </xf>
    <xf numFmtId="0" fontId="28" fillId="2" borderId="12" xfId="0" applyFont="1" applyFill="1" applyBorder="1" applyAlignment="1" applyProtection="1">
      <alignment horizontal="left"/>
    </xf>
    <xf numFmtId="0" fontId="28" fillId="2" borderId="11" xfId="0" applyFont="1" applyFill="1" applyBorder="1" applyAlignment="1" applyProtection="1">
      <alignment horizontal="left"/>
    </xf>
    <xf numFmtId="0" fontId="28" fillId="2" borderId="57" xfId="0" applyFont="1" applyFill="1" applyBorder="1" applyAlignment="1" applyProtection="1">
      <alignment horizontal="left"/>
    </xf>
    <xf numFmtId="0" fontId="4" fillId="0" borderId="14" xfId="0" applyFont="1" applyFill="1" applyBorder="1" applyAlignment="1" applyProtection="1">
      <alignment wrapText="1"/>
    </xf>
    <xf numFmtId="193" fontId="7" fillId="0" borderId="14" xfId="5" applyNumberFormat="1" applyFont="1" applyFill="1" applyBorder="1" applyProtection="1"/>
    <xf numFmtId="0" fontId="4" fillId="0" borderId="14" xfId="0" applyFont="1" applyFill="1" applyBorder="1" applyAlignment="1" applyProtection="1">
      <alignment horizontal="centerContinuous"/>
    </xf>
    <xf numFmtId="193" fontId="7" fillId="0" borderId="14" xfId="0" applyNumberFormat="1" applyFont="1" applyFill="1" applyBorder="1" applyProtection="1"/>
    <xf numFmtId="177" fontId="7" fillId="0" borderId="14" xfId="2" applyNumberFormat="1" applyFont="1" applyFill="1" applyBorder="1" applyProtection="1"/>
    <xf numFmtId="0" fontId="8" fillId="0" borderId="14" xfId="0" applyFont="1" applyFill="1" applyBorder="1" applyAlignment="1" applyProtection="1">
      <alignment horizontal="center" vertical="center"/>
    </xf>
    <xf numFmtId="3" fontId="23" fillId="0" borderId="14" xfId="0" applyNumberFormat="1" applyFont="1" applyFill="1" applyBorder="1" applyProtection="1"/>
    <xf numFmtId="9" fontId="23" fillId="0" borderId="14" xfId="5" applyFont="1" applyFill="1" applyBorder="1" applyProtection="1"/>
    <xf numFmtId="9" fontId="7" fillId="0" borderId="14" xfId="5" applyFont="1" applyFill="1" applyBorder="1" applyProtection="1"/>
    <xf numFmtId="9" fontId="15" fillId="0" borderId="14" xfId="5" applyFont="1" applyFill="1" applyBorder="1" applyAlignment="1" applyProtection="1">
      <alignment horizontal="center"/>
    </xf>
    <xf numFmtId="0" fontId="27" fillId="0" borderId="14" xfId="0" applyFont="1" applyFill="1" applyBorder="1" applyAlignment="1" applyProtection="1">
      <alignment horizontal="center" vertical="center" wrapText="1"/>
    </xf>
    <xf numFmtId="0" fontId="4" fillId="0" borderId="14" xfId="0" applyFont="1" applyFill="1" applyBorder="1" applyAlignment="1" applyProtection="1">
      <alignment horizontal="center"/>
    </xf>
    <xf numFmtId="0" fontId="17" fillId="0" borderId="14" xfId="0" applyFont="1" applyFill="1" applyBorder="1" applyAlignment="1" applyProtection="1">
      <alignment vertical="center"/>
    </xf>
    <xf numFmtId="0" fontId="8" fillId="0" borderId="14" xfId="0" applyFont="1" applyFill="1" applyBorder="1" applyAlignment="1" applyProtection="1">
      <alignment horizontal="left" vertical="center"/>
    </xf>
    <xf numFmtId="0" fontId="5" fillId="0" borderId="22" xfId="0" applyFont="1" applyFill="1" applyBorder="1" applyProtection="1"/>
    <xf numFmtId="0" fontId="4" fillId="0" borderId="22" xfId="0" applyFont="1" applyFill="1" applyBorder="1" applyProtection="1"/>
    <xf numFmtId="0" fontId="17" fillId="0" borderId="22" xfId="0" applyFont="1" applyFill="1" applyBorder="1" applyProtection="1"/>
    <xf numFmtId="0" fontId="18" fillId="0" borderId="22" xfId="0" applyFont="1" applyFill="1" applyBorder="1" applyProtection="1"/>
    <xf numFmtId="0" fontId="5" fillId="0" borderId="45" xfId="0" applyFont="1" applyFill="1" applyBorder="1" applyProtection="1"/>
    <xf numFmtId="0" fontId="4" fillId="0" borderId="45" xfId="0" applyFont="1" applyFill="1" applyBorder="1" applyProtection="1"/>
    <xf numFmtId="0" fontId="17" fillId="0" borderId="45" xfId="0" applyFont="1" applyFill="1" applyBorder="1" applyProtection="1"/>
    <xf numFmtId="10" fontId="7" fillId="2" borderId="9" xfId="5" applyNumberFormat="1" applyFont="1" applyFill="1" applyBorder="1" applyAlignment="1" applyProtection="1">
      <alignment horizontal="center" wrapText="1"/>
    </xf>
    <xf numFmtId="10" fontId="7" fillId="2" borderId="9" xfId="5" applyNumberFormat="1" applyFont="1" applyFill="1" applyBorder="1" applyAlignment="1" applyProtection="1">
      <alignment horizontal="center"/>
    </xf>
    <xf numFmtId="10" fontId="18" fillId="2" borderId="9" xfId="0" applyNumberFormat="1" applyFont="1" applyFill="1" applyBorder="1" applyProtection="1"/>
    <xf numFmtId="0" fontId="0" fillId="0" borderId="0" xfId="0" applyFill="1"/>
    <xf numFmtId="0" fontId="4" fillId="0" borderId="0" xfId="0" applyFont="1"/>
    <xf numFmtId="0" fontId="7" fillId="0" borderId="0" xfId="0" applyFont="1"/>
    <xf numFmtId="3" fontId="0" fillId="0" borderId="0" xfId="0" applyNumberFormat="1"/>
    <xf numFmtId="0" fontId="69" fillId="0" borderId="0" xfId="0" applyFont="1"/>
    <xf numFmtId="10" fontId="69" fillId="0" borderId="0" xfId="0" applyNumberFormat="1" applyFont="1"/>
    <xf numFmtId="0" fontId="9" fillId="0" borderId="0" xfId="0" applyFont="1"/>
    <xf numFmtId="10" fontId="9" fillId="0" borderId="0" xfId="0" applyNumberFormat="1" applyFont="1"/>
    <xf numFmtId="3" fontId="70" fillId="0" borderId="1" xfId="4" applyNumberFormat="1" applyFont="1" applyFill="1" applyBorder="1" applyAlignment="1">
      <alignment wrapText="1"/>
    </xf>
    <xf numFmtId="3" fontId="69" fillId="0" borderId="0" xfId="0" applyNumberFormat="1" applyFont="1"/>
    <xf numFmtId="3" fontId="71" fillId="0" borderId="0" xfId="0" applyNumberFormat="1" applyFont="1"/>
    <xf numFmtId="3" fontId="72" fillId="0" borderId="0" xfId="0" applyNumberFormat="1" applyFont="1"/>
    <xf numFmtId="0" fontId="72" fillId="0" borderId="0" xfId="0" applyFont="1"/>
    <xf numFmtId="0" fontId="73" fillId="0" borderId="0" xfId="3" applyFont="1" applyFill="1" applyBorder="1" applyAlignment="1">
      <alignment wrapText="1"/>
    </xf>
    <xf numFmtId="10" fontId="69" fillId="0" borderId="0" xfId="0" applyNumberFormat="1" applyFont="1" applyFill="1"/>
    <xf numFmtId="0" fontId="69" fillId="0" borderId="0" xfId="0" applyFont="1" applyFill="1"/>
    <xf numFmtId="9" fontId="17" fillId="0" borderId="14" xfId="0" applyNumberFormat="1" applyFont="1" applyFill="1" applyBorder="1" applyProtection="1"/>
    <xf numFmtId="0" fontId="0" fillId="0" borderId="0" xfId="0" applyFill="1" applyAlignment="1" applyProtection="1">
      <alignment wrapText="1"/>
      <protection locked="0"/>
    </xf>
    <xf numFmtId="197" fontId="0" fillId="0" borderId="0" xfId="2" applyNumberFormat="1" applyFont="1" applyFill="1" applyProtection="1">
      <protection locked="0"/>
    </xf>
    <xf numFmtId="0" fontId="7" fillId="0" borderId="14" xfId="0" applyFont="1" applyFill="1" applyBorder="1" applyAlignment="1" applyProtection="1">
      <alignment horizontal="center" wrapText="1"/>
      <protection locked="0"/>
    </xf>
    <xf numFmtId="197" fontId="7" fillId="0" borderId="14" xfId="2" applyNumberFormat="1" applyFont="1" applyFill="1" applyBorder="1" applyAlignment="1" applyProtection="1">
      <alignment horizontal="center" wrapText="1"/>
      <protection locked="0"/>
    </xf>
    <xf numFmtId="197" fontId="0" fillId="0" borderId="14" xfId="2" applyNumberFormat="1" applyFont="1" applyFill="1" applyBorder="1" applyProtection="1">
      <protection locked="0"/>
    </xf>
    <xf numFmtId="197" fontId="7" fillId="0" borderId="14" xfId="2" applyNumberFormat="1" applyFont="1" applyFill="1" applyBorder="1" applyProtection="1">
      <protection locked="0"/>
    </xf>
    <xf numFmtId="197" fontId="0" fillId="0" borderId="0" xfId="2" applyNumberFormat="1" applyFont="1" applyProtection="1">
      <protection locked="0"/>
    </xf>
    <xf numFmtId="197" fontId="0" fillId="0" borderId="50" xfId="2" applyNumberFormat="1" applyFont="1" applyBorder="1" applyProtection="1">
      <protection locked="0"/>
    </xf>
    <xf numFmtId="0" fontId="0" fillId="0" borderId="50" xfId="0" applyBorder="1" applyProtection="1">
      <protection locked="0"/>
    </xf>
    <xf numFmtId="0" fontId="4" fillId="0" borderId="14" xfId="0" applyNumberFormat="1" applyFont="1" applyBorder="1" applyAlignment="1" applyProtection="1">
      <alignment horizontal="left" wrapText="1"/>
    </xf>
    <xf numFmtId="3" fontId="17" fillId="0" borderId="36" xfId="0" applyNumberFormat="1" applyFont="1" applyFill="1" applyBorder="1"/>
    <xf numFmtId="0" fontId="17" fillId="0" borderId="36" xfId="0" applyFont="1" applyFill="1" applyBorder="1" applyAlignment="1">
      <alignment horizontal="justify" vertical="justify"/>
    </xf>
    <xf numFmtId="0" fontId="18" fillId="12" borderId="16" xfId="0" applyFont="1" applyFill="1" applyBorder="1" applyAlignment="1">
      <alignment horizontal="justify" vertical="justify"/>
    </xf>
    <xf numFmtId="3" fontId="18" fillId="12" borderId="16" xfId="0" applyNumberFormat="1" applyFont="1" applyFill="1" applyBorder="1"/>
    <xf numFmtId="0" fontId="0" fillId="0" borderId="22" xfId="0" applyFill="1" applyBorder="1" applyAlignment="1" applyProtection="1">
      <alignment wrapText="1"/>
      <protection locked="0"/>
    </xf>
    <xf numFmtId="197" fontId="0" fillId="0" borderId="22" xfId="2" applyNumberFormat="1" applyFont="1" applyFill="1" applyBorder="1" applyProtection="1">
      <protection locked="0"/>
    </xf>
    <xf numFmtId="0" fontId="0" fillId="0" borderId="22" xfId="0" applyFill="1" applyBorder="1" applyProtection="1">
      <protection locked="0"/>
    </xf>
    <xf numFmtId="0" fontId="0" fillId="0" borderId="14" xfId="0" applyBorder="1"/>
    <xf numFmtId="9" fontId="7" fillId="0" borderId="14" xfId="5" applyFont="1" applyBorder="1"/>
    <xf numFmtId="9" fontId="0" fillId="0" borderId="0" xfId="5" applyFont="1" applyBorder="1" applyAlignment="1" applyProtection="1">
      <protection locked="0"/>
    </xf>
    <xf numFmtId="9" fontId="7" fillId="0" borderId="0" xfId="5" applyFont="1" applyBorder="1" applyProtection="1">
      <protection locked="0"/>
    </xf>
    <xf numFmtId="9" fontId="0" fillId="0" borderId="0" xfId="0" applyNumberFormat="1" applyBorder="1" applyProtection="1">
      <protection locked="0"/>
    </xf>
    <xf numFmtId="1" fontId="0" fillId="4" borderId="0" xfId="0" applyNumberFormat="1" applyFill="1" applyBorder="1" applyProtection="1">
      <protection locked="0"/>
    </xf>
    <xf numFmtId="1" fontId="0" fillId="4" borderId="0" xfId="5" applyNumberFormat="1" applyFont="1" applyFill="1" applyBorder="1" applyProtection="1">
      <protection locked="0"/>
    </xf>
    <xf numFmtId="3" fontId="7" fillId="0" borderId="0" xfId="0" applyNumberFormat="1" applyFont="1" applyBorder="1" applyAlignment="1" applyProtection="1">
      <alignment horizontal="centerContinuous" vertical="center" wrapText="1"/>
    </xf>
    <xf numFmtId="3" fontId="7" fillId="0" borderId="0" xfId="0" applyNumberFormat="1" applyFont="1" applyFill="1" applyBorder="1" applyAlignment="1" applyProtection="1">
      <alignment horizontal="right" vertical="center" wrapText="1"/>
    </xf>
    <xf numFmtId="9" fontId="4" fillId="0" borderId="14" xfId="5" applyFont="1" applyBorder="1"/>
    <xf numFmtId="197" fontId="0" fillId="0" borderId="0" xfId="2" applyNumberFormat="1" applyFont="1" applyBorder="1" applyProtection="1">
      <protection locked="0"/>
    </xf>
    <xf numFmtId="0" fontId="0" fillId="0" borderId="0" xfId="0" applyBorder="1" applyProtection="1">
      <protection locked="0"/>
    </xf>
    <xf numFmtId="0" fontId="7" fillId="0" borderId="0" xfId="0" applyFont="1" applyBorder="1" applyAlignment="1" applyProtection="1">
      <alignment horizontal="right" wrapText="1"/>
    </xf>
    <xf numFmtId="0" fontId="7" fillId="0" borderId="11" xfId="0" applyFont="1" applyBorder="1" applyAlignment="1" applyProtection="1">
      <alignment horizontal="centerContinuous" vertical="center" wrapText="1"/>
    </xf>
    <xf numFmtId="0" fontId="17" fillId="0" borderId="40" xfId="0" applyFont="1" applyFill="1" applyBorder="1" applyAlignment="1">
      <alignment horizontal="justify" vertical="justify"/>
    </xf>
    <xf numFmtId="3" fontId="17" fillId="0" borderId="40" xfId="0" applyNumberFormat="1" applyFont="1" applyFill="1" applyBorder="1" applyAlignment="1">
      <alignment horizontal="right"/>
    </xf>
    <xf numFmtId="0" fontId="18" fillId="0" borderId="14" xfId="0" applyFont="1" applyFill="1" applyBorder="1" applyAlignment="1">
      <alignment horizontal="center"/>
    </xf>
    <xf numFmtId="3" fontId="18" fillId="0" borderId="14" xfId="0" applyNumberFormat="1" applyFont="1" applyFill="1" applyBorder="1" applyAlignment="1">
      <alignment horizontal="center"/>
    </xf>
    <xf numFmtId="0" fontId="41" fillId="0" borderId="0" xfId="0" applyFont="1" applyFill="1" applyBorder="1" applyAlignment="1" applyProtection="1">
      <alignment horizontal="center"/>
    </xf>
    <xf numFmtId="0" fontId="38" fillId="2" borderId="45" xfId="0" applyFont="1" applyFill="1" applyBorder="1" applyAlignment="1" applyProtection="1">
      <alignment horizontal="centerContinuous" vertical="center" wrapText="1"/>
    </xf>
    <xf numFmtId="0" fontId="74" fillId="0" borderId="0" xfId="0" applyFont="1" applyFill="1" applyBorder="1" applyAlignment="1" applyProtection="1">
      <alignment horizontal="center"/>
    </xf>
    <xf numFmtId="0" fontId="74" fillId="0" borderId="0" xfId="0" applyFont="1" applyFill="1" applyBorder="1" applyAlignment="1" applyProtection="1">
      <alignment horizontal="centerContinuous"/>
    </xf>
    <xf numFmtId="0" fontId="41" fillId="0" borderId="0" xfId="0" applyFont="1" applyFill="1" applyBorder="1" applyAlignment="1" applyProtection="1">
      <alignment horizontal="centerContinuous" vertical="center"/>
    </xf>
    <xf numFmtId="0" fontId="3" fillId="0" borderId="0" xfId="0" applyFont="1" applyFill="1" applyBorder="1" applyAlignment="1" applyProtection="1">
      <alignment horizontal="centerContinuous" vertical="center"/>
    </xf>
    <xf numFmtId="0" fontId="43" fillId="0" borderId="0" xfId="0" applyFont="1" applyFill="1" applyBorder="1" applyProtection="1"/>
    <xf numFmtId="0" fontId="7" fillId="0" borderId="0" xfId="0" applyFont="1" applyFill="1" applyBorder="1" applyAlignment="1" applyProtection="1">
      <alignment horizontal="left"/>
    </xf>
    <xf numFmtId="0" fontId="4" fillId="0" borderId="0" xfId="0" applyFont="1" applyFill="1" applyBorder="1" applyAlignment="1" applyProtection="1">
      <alignment horizontal="centerContinuous"/>
    </xf>
    <xf numFmtId="0" fontId="4" fillId="0" borderId="0" xfId="0" applyFont="1" applyFill="1" applyBorder="1" applyAlignment="1" applyProtection="1">
      <alignment horizontal="left"/>
    </xf>
    <xf numFmtId="0" fontId="7" fillId="0" borderId="62" xfId="0" applyFont="1" applyFill="1" applyBorder="1" applyAlignment="1" applyProtection="1">
      <alignment horizontal="centerContinuous"/>
    </xf>
    <xf numFmtId="0" fontId="4" fillId="0" borderId="62" xfId="0" applyFont="1" applyFill="1" applyBorder="1" applyAlignment="1" applyProtection="1">
      <alignment horizontal="centerContinuous"/>
    </xf>
    <xf numFmtId="4" fontId="0" fillId="0" borderId="0" xfId="0" applyNumberFormat="1" applyFill="1" applyProtection="1"/>
    <xf numFmtId="4" fontId="55" fillId="0" borderId="0" xfId="0" applyNumberFormat="1" applyFont="1" applyFill="1" applyBorder="1" applyAlignment="1" applyProtection="1">
      <alignment horizontal="left"/>
    </xf>
    <xf numFmtId="195" fontId="55" fillId="0" borderId="0" xfId="0" applyNumberFormat="1" applyFont="1" applyFill="1" applyBorder="1" applyAlignment="1" applyProtection="1">
      <alignment horizontal="right"/>
    </xf>
    <xf numFmtId="0" fontId="55" fillId="0" borderId="0" xfId="0" applyFont="1" applyFill="1" applyBorder="1" applyAlignment="1" applyProtection="1">
      <alignment horizontal="center"/>
    </xf>
    <xf numFmtId="0" fontId="54" fillId="0" borderId="0" xfId="0" applyFont="1" applyFill="1" applyBorder="1" applyAlignment="1" applyProtection="1">
      <alignment horizontal="centerContinuous" vertical="center"/>
    </xf>
    <xf numFmtId="197" fontId="0" fillId="0" borderId="14" xfId="2" applyNumberFormat="1" applyFont="1" applyBorder="1"/>
    <xf numFmtId="0" fontId="0" fillId="5" borderId="0" xfId="0" applyFill="1" applyBorder="1" applyAlignment="1" applyProtection="1">
      <alignment wrapText="1"/>
    </xf>
    <xf numFmtId="0" fontId="0" fillId="5" borderId="0" xfId="0" applyFill="1" applyAlignment="1" applyProtection="1">
      <alignment wrapText="1"/>
      <protection locked="0"/>
    </xf>
    <xf numFmtId="0" fontId="4" fillId="5" borderId="0" xfId="0" applyFont="1" applyFill="1" applyBorder="1"/>
    <xf numFmtId="3" fontId="4" fillId="27" borderId="14" xfId="0" applyNumberFormat="1" applyFont="1" applyFill="1" applyBorder="1" applyProtection="1">
      <protection locked="0"/>
    </xf>
    <xf numFmtId="0" fontId="7" fillId="0" borderId="0" xfId="0" applyFont="1" applyAlignment="1" applyProtection="1">
      <alignment horizontal="center"/>
      <protection locked="0"/>
    </xf>
    <xf numFmtId="0" fontId="7" fillId="0" borderId="0" xfId="0" applyFont="1" applyFill="1" applyAlignment="1" applyProtection="1">
      <alignment horizontal="center" wrapText="1"/>
      <protection locked="0"/>
    </xf>
    <xf numFmtId="197" fontId="7" fillId="0" borderId="0" xfId="2" applyNumberFormat="1" applyFont="1" applyFill="1" applyBorder="1" applyAlignment="1" applyProtection="1">
      <alignment horizontal="center" wrapText="1"/>
      <protection locked="0"/>
    </xf>
    <xf numFmtId="197" fontId="7" fillId="0" borderId="0" xfId="2" applyNumberFormat="1" applyFont="1" applyBorder="1" applyAlignment="1" applyProtection="1">
      <alignment horizontal="center"/>
      <protection locked="0"/>
    </xf>
    <xf numFmtId="0" fontId="75" fillId="0" borderId="0" xfId="0" applyFont="1" applyFill="1" applyAlignment="1" applyProtection="1">
      <alignment horizontal="center"/>
    </xf>
    <xf numFmtId="197" fontId="75" fillId="0" borderId="0" xfId="2" applyNumberFormat="1" applyFont="1" applyFill="1" applyAlignment="1" applyProtection="1">
      <alignment horizontal="center" wrapText="1"/>
      <protection locked="0"/>
    </xf>
    <xf numFmtId="197" fontId="7" fillId="0" borderId="0" xfId="2" applyNumberFormat="1" applyFont="1" applyAlignment="1" applyProtection="1">
      <alignment horizontal="center"/>
      <protection locked="0"/>
    </xf>
    <xf numFmtId="197" fontId="7" fillId="0" borderId="0" xfId="2" applyNumberFormat="1" applyFont="1" applyFill="1" applyAlignment="1" applyProtection="1">
      <alignment horizontal="center" wrapText="1"/>
      <protection locked="0"/>
    </xf>
    <xf numFmtId="197" fontId="0" fillId="5" borderId="0" xfId="2" applyNumberFormat="1" applyFont="1" applyFill="1" applyAlignment="1" applyProtection="1">
      <alignment horizontal="center"/>
    </xf>
    <xf numFmtId="0" fontId="18" fillId="0" borderId="0" xfId="0" applyFont="1" applyFill="1" applyBorder="1" applyAlignment="1">
      <alignment horizontal="center"/>
    </xf>
    <xf numFmtId="0" fontId="18" fillId="0" borderId="50" xfId="0" applyFont="1" applyFill="1" applyBorder="1" applyAlignment="1">
      <alignment horizontal="center"/>
    </xf>
    <xf numFmtId="0" fontId="7" fillId="0" borderId="0" xfId="0" applyFont="1" applyFill="1" applyAlignment="1" applyProtection="1">
      <alignment horizontal="center"/>
    </xf>
    <xf numFmtId="0" fontId="0" fillId="5" borderId="26" xfId="0" applyFill="1" applyBorder="1" applyAlignment="1" applyProtection="1">
      <alignment horizontal="center" vertical="center"/>
    </xf>
    <xf numFmtId="0" fontId="0" fillId="5" borderId="13" xfId="0" applyFill="1" applyBorder="1" applyAlignment="1" applyProtection="1">
      <alignment horizontal="center" vertical="center"/>
    </xf>
  </cellXfs>
  <cellStyles count="6">
    <cellStyle name="Euro" xfId="1"/>
    <cellStyle name="Millares" xfId="2" builtinId="3"/>
    <cellStyle name="Normal" xfId="0" builtinId="0"/>
    <cellStyle name="Normal_ENE-05" xfId="3"/>
    <cellStyle name="Normal_ingresos" xfId="4"/>
    <cellStyle name="Porcentual"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51</xdr:row>
      <xdr:rowOff>57150</xdr:rowOff>
    </xdr:from>
    <xdr:to>
      <xdr:col>1</xdr:col>
      <xdr:colOff>85725</xdr:colOff>
      <xdr:row>55</xdr:row>
      <xdr:rowOff>152400</xdr:rowOff>
    </xdr:to>
    <xdr:pic>
      <xdr:nvPicPr>
        <xdr:cNvPr id="59412" name="Picture 3" descr="FIRMA HIVANa"/>
        <xdr:cNvPicPr>
          <a:picLocks noChangeAspect="1" noChangeArrowheads="1"/>
        </xdr:cNvPicPr>
      </xdr:nvPicPr>
      <xdr:blipFill>
        <a:blip xmlns:r="http://schemas.openxmlformats.org/officeDocument/2006/relationships" r:embed="rId1"/>
        <a:srcRect l="9375" t="3882" r="8594" b="37444"/>
        <a:stretch>
          <a:fillRect/>
        </a:stretch>
      </xdr:blipFill>
      <xdr:spPr bwMode="auto">
        <a:xfrm>
          <a:off x="0" y="10839450"/>
          <a:ext cx="2343150" cy="1143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98</xdr:row>
      <xdr:rowOff>66675</xdr:rowOff>
    </xdr:from>
    <xdr:to>
      <xdr:col>1</xdr:col>
      <xdr:colOff>2343150</xdr:colOff>
      <xdr:row>105</xdr:row>
      <xdr:rowOff>142875</xdr:rowOff>
    </xdr:to>
    <xdr:pic>
      <xdr:nvPicPr>
        <xdr:cNvPr id="1500" name="Picture 442" descr="FIRMA HIVANa"/>
        <xdr:cNvPicPr>
          <a:picLocks noChangeAspect="1" noChangeArrowheads="1"/>
        </xdr:cNvPicPr>
      </xdr:nvPicPr>
      <xdr:blipFill>
        <a:blip xmlns:r="http://schemas.openxmlformats.org/officeDocument/2006/relationships" r:embed="rId1"/>
        <a:srcRect l="9375" t="3882" r="8594" b="37444"/>
        <a:stretch>
          <a:fillRect/>
        </a:stretch>
      </xdr:blipFill>
      <xdr:spPr bwMode="auto">
        <a:xfrm>
          <a:off x="0" y="13315950"/>
          <a:ext cx="2343150" cy="1143000"/>
        </a:xfrm>
        <a:prstGeom prst="rect">
          <a:avLst/>
        </a:prstGeom>
        <a:noFill/>
        <a:ln w="9525">
          <a:noFill/>
          <a:miter lim="800000"/>
          <a:headEnd/>
          <a:tailEnd/>
        </a:ln>
      </xdr:spPr>
    </xdr:pic>
    <xdr:clientData/>
  </xdr:twoCellAnchor>
  <xdr:twoCellAnchor editAs="oneCell">
    <xdr:from>
      <xdr:col>0</xdr:col>
      <xdr:colOff>0</xdr:colOff>
      <xdr:row>161</xdr:row>
      <xdr:rowOff>66675</xdr:rowOff>
    </xdr:from>
    <xdr:to>
      <xdr:col>1</xdr:col>
      <xdr:colOff>2343150</xdr:colOff>
      <xdr:row>168</xdr:row>
      <xdr:rowOff>142875</xdr:rowOff>
    </xdr:to>
    <xdr:pic>
      <xdr:nvPicPr>
        <xdr:cNvPr id="1501" name="Picture 443" descr="FIRMA HIVANa"/>
        <xdr:cNvPicPr>
          <a:picLocks noChangeAspect="1" noChangeArrowheads="1"/>
        </xdr:cNvPicPr>
      </xdr:nvPicPr>
      <xdr:blipFill>
        <a:blip xmlns:r="http://schemas.openxmlformats.org/officeDocument/2006/relationships" r:embed="rId1"/>
        <a:srcRect l="9375" t="3882" r="8594" b="37444"/>
        <a:stretch>
          <a:fillRect/>
        </a:stretch>
      </xdr:blipFill>
      <xdr:spPr bwMode="auto">
        <a:xfrm>
          <a:off x="0" y="23555325"/>
          <a:ext cx="2343150" cy="1143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189</xdr:row>
      <xdr:rowOff>66675</xdr:rowOff>
    </xdr:from>
    <xdr:to>
      <xdr:col>1</xdr:col>
      <xdr:colOff>2343150</xdr:colOff>
      <xdr:row>196</xdr:row>
      <xdr:rowOff>85725</xdr:rowOff>
    </xdr:to>
    <xdr:pic>
      <xdr:nvPicPr>
        <xdr:cNvPr id="5274" name="Picture 134" descr="FIRMA HIVANa"/>
        <xdr:cNvPicPr>
          <a:picLocks noChangeAspect="1" noChangeArrowheads="1"/>
        </xdr:cNvPicPr>
      </xdr:nvPicPr>
      <xdr:blipFill>
        <a:blip xmlns:r="http://schemas.openxmlformats.org/officeDocument/2006/relationships" r:embed="rId1"/>
        <a:srcRect l="9375" t="3882" r="8594" b="37444"/>
        <a:stretch>
          <a:fillRect/>
        </a:stretch>
      </xdr:blipFill>
      <xdr:spPr bwMode="auto">
        <a:xfrm>
          <a:off x="0" y="12315825"/>
          <a:ext cx="2343150" cy="1152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218</xdr:row>
      <xdr:rowOff>66675</xdr:rowOff>
    </xdr:from>
    <xdr:to>
      <xdr:col>1</xdr:col>
      <xdr:colOff>2343150</xdr:colOff>
      <xdr:row>225</xdr:row>
      <xdr:rowOff>85725</xdr:rowOff>
    </xdr:to>
    <xdr:pic>
      <xdr:nvPicPr>
        <xdr:cNvPr id="3104" name="Picture 15" descr="FIRMA HIVANa"/>
        <xdr:cNvPicPr>
          <a:picLocks noChangeAspect="1" noChangeArrowheads="1"/>
        </xdr:cNvPicPr>
      </xdr:nvPicPr>
      <xdr:blipFill>
        <a:blip xmlns:r="http://schemas.openxmlformats.org/officeDocument/2006/relationships" r:embed="rId1"/>
        <a:srcRect l="9375" t="3882" r="8594" b="37444"/>
        <a:stretch>
          <a:fillRect/>
        </a:stretch>
      </xdr:blipFill>
      <xdr:spPr bwMode="auto">
        <a:xfrm>
          <a:off x="0" y="14135100"/>
          <a:ext cx="2343150" cy="11525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81</xdr:row>
      <xdr:rowOff>9525</xdr:rowOff>
    </xdr:from>
    <xdr:to>
      <xdr:col>2</xdr:col>
      <xdr:colOff>2343150</xdr:colOff>
      <xdr:row>88</xdr:row>
      <xdr:rowOff>28575</xdr:rowOff>
    </xdr:to>
    <xdr:pic>
      <xdr:nvPicPr>
        <xdr:cNvPr id="6379" name="Picture 218" descr="FIRMA HIVANa"/>
        <xdr:cNvPicPr>
          <a:picLocks noChangeAspect="1" noChangeArrowheads="1"/>
        </xdr:cNvPicPr>
      </xdr:nvPicPr>
      <xdr:blipFill>
        <a:blip xmlns:r="http://schemas.openxmlformats.org/officeDocument/2006/relationships" r:embed="rId1"/>
        <a:srcRect l="9375" t="3882" r="8594" b="37444"/>
        <a:stretch>
          <a:fillRect/>
        </a:stretch>
      </xdr:blipFill>
      <xdr:spPr bwMode="auto">
        <a:xfrm>
          <a:off x="0" y="9124950"/>
          <a:ext cx="2343150" cy="11525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26</xdr:row>
      <xdr:rowOff>9525</xdr:rowOff>
    </xdr:from>
    <xdr:to>
      <xdr:col>7</xdr:col>
      <xdr:colOff>609600</xdr:colOff>
      <xdr:row>32</xdr:row>
      <xdr:rowOff>19050</xdr:rowOff>
    </xdr:to>
    <xdr:pic>
      <xdr:nvPicPr>
        <xdr:cNvPr id="60434" name="Picture 1" descr="FIRMA HIVANa"/>
        <xdr:cNvPicPr>
          <a:picLocks noChangeAspect="1" noChangeArrowheads="1"/>
        </xdr:cNvPicPr>
      </xdr:nvPicPr>
      <xdr:blipFill>
        <a:blip xmlns:r="http://schemas.openxmlformats.org/officeDocument/2006/relationships" r:embed="rId1"/>
        <a:srcRect l="9375" t="3882" r="8594" b="37444"/>
        <a:stretch>
          <a:fillRect/>
        </a:stretch>
      </xdr:blipFill>
      <xdr:spPr bwMode="auto">
        <a:xfrm>
          <a:off x="0" y="7591425"/>
          <a:ext cx="2343150" cy="11525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77</xdr:row>
      <xdr:rowOff>9525</xdr:rowOff>
    </xdr:from>
    <xdr:to>
      <xdr:col>1</xdr:col>
      <xdr:colOff>2343150</xdr:colOff>
      <xdr:row>83</xdr:row>
      <xdr:rowOff>0</xdr:rowOff>
    </xdr:to>
    <xdr:pic>
      <xdr:nvPicPr>
        <xdr:cNvPr id="20926" name="Picture 426" descr="FIRMA HIVANa"/>
        <xdr:cNvPicPr>
          <a:picLocks noChangeAspect="1" noChangeArrowheads="1"/>
        </xdr:cNvPicPr>
      </xdr:nvPicPr>
      <xdr:blipFill>
        <a:blip xmlns:r="http://schemas.openxmlformats.org/officeDocument/2006/relationships" r:embed="rId1"/>
        <a:srcRect l="9375" t="3882" r="8594" b="37444"/>
        <a:stretch>
          <a:fillRect/>
        </a:stretch>
      </xdr:blipFill>
      <xdr:spPr bwMode="auto">
        <a:xfrm>
          <a:off x="0" y="18630900"/>
          <a:ext cx="2343150"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11"/>
    <pageSetUpPr fitToPage="1"/>
  </sheetPr>
  <dimension ref="A1:F65"/>
  <sheetViews>
    <sheetView topLeftCell="A44" workbookViewId="0">
      <selection activeCell="A59" sqref="A57:A59"/>
    </sheetView>
  </sheetViews>
  <sheetFormatPr baseColWidth="10" defaultRowHeight="12.75"/>
  <cols>
    <col min="1" max="1" width="33.85546875" customWidth="1"/>
    <col min="2" max="2" width="12.85546875" customWidth="1"/>
    <col min="3" max="3" width="13.5703125" customWidth="1"/>
    <col min="4" max="4" width="12" customWidth="1"/>
    <col min="5" max="5" width="11.140625" customWidth="1"/>
    <col min="6" max="6" width="12.28515625" customWidth="1"/>
    <col min="7" max="7" width="20.42578125" customWidth="1"/>
  </cols>
  <sheetData>
    <row r="1" spans="1:6">
      <c r="A1" s="1315" t="s">
        <v>488</v>
      </c>
      <c r="B1" s="1315"/>
      <c r="C1" s="1315"/>
      <c r="D1" s="1315"/>
      <c r="E1" s="1315"/>
      <c r="F1" s="1315"/>
    </row>
    <row r="2" spans="1:6">
      <c r="A2" s="1315" t="s">
        <v>489</v>
      </c>
      <c r="B2" s="1315"/>
      <c r="C2" s="1315"/>
      <c r="D2" s="1315"/>
      <c r="E2" s="1315"/>
      <c r="F2" s="1315"/>
    </row>
    <row r="3" spans="1:6" ht="12.75" customHeight="1">
      <c r="A3" s="1315" t="s">
        <v>1356</v>
      </c>
      <c r="B3" s="1315"/>
      <c r="C3" s="1315"/>
      <c r="D3" s="1315"/>
      <c r="E3" s="1315"/>
      <c r="F3" s="1315"/>
    </row>
    <row r="4" spans="1:6" ht="12.75" customHeight="1">
      <c r="A4" s="1315" t="s">
        <v>1355</v>
      </c>
      <c r="B4" s="1315"/>
      <c r="C4" s="1315"/>
      <c r="D4" s="1315"/>
      <c r="E4" s="1315"/>
      <c r="F4" s="1315"/>
    </row>
    <row r="5" spans="1:6">
      <c r="A5" s="1314" t="s">
        <v>490</v>
      </c>
      <c r="B5" s="1314"/>
      <c r="C5" s="1314"/>
      <c r="D5" s="1314"/>
      <c r="E5" s="1314"/>
      <c r="F5" s="1314"/>
    </row>
    <row r="6" spans="1:6">
      <c r="A6" s="1314" t="s">
        <v>541</v>
      </c>
      <c r="B6" s="1314"/>
      <c r="C6" s="1314"/>
      <c r="D6" s="1314"/>
      <c r="E6" s="1314"/>
      <c r="F6" s="1314"/>
    </row>
    <row r="7" spans="1:6">
      <c r="A7" s="1257"/>
      <c r="B7" s="1258"/>
      <c r="C7" s="1258"/>
      <c r="D7" s="1258"/>
      <c r="E7" s="422"/>
    </row>
    <row r="8" spans="1:6" ht="51">
      <c r="A8" s="1259" t="s">
        <v>797</v>
      </c>
      <c r="B8" s="1260" t="s">
        <v>1353</v>
      </c>
      <c r="C8" s="1260" t="s">
        <v>1354</v>
      </c>
      <c r="D8" s="1260" t="s">
        <v>491</v>
      </c>
      <c r="E8" s="1259" t="s">
        <v>492</v>
      </c>
      <c r="F8" s="1259" t="s">
        <v>198</v>
      </c>
    </row>
    <row r="9" spans="1:6">
      <c r="A9" s="1271"/>
      <c r="B9" s="1272"/>
      <c r="C9" s="1272"/>
      <c r="D9" s="1272"/>
      <c r="E9" s="1273"/>
      <c r="F9" s="1274"/>
    </row>
    <row r="10" spans="1:6">
      <c r="A10" s="1176" t="s">
        <v>809</v>
      </c>
      <c r="B10" s="1203">
        <f>+B11+B35</f>
        <v>6134951.320576</v>
      </c>
      <c r="C10" s="1203">
        <f>+C11+C35</f>
        <v>7306908</v>
      </c>
      <c r="D10" s="1262">
        <f>+B10-C10</f>
        <v>-1171956.679424</v>
      </c>
      <c r="E10" s="1197">
        <f>+C10/B10</f>
        <v>1.1910294993691926</v>
      </c>
      <c r="F10" s="1275">
        <f>+D10/B10</f>
        <v>-0.19102949936919256</v>
      </c>
    </row>
    <row r="11" spans="1:6">
      <c r="A11" s="1176" t="s">
        <v>811</v>
      </c>
      <c r="B11" s="1203">
        <f>+B12+B23+B29+B32+B27+B28</f>
        <v>1063830.8262400001</v>
      </c>
      <c r="C11" s="1203">
        <f>+C12+C23+C29+C32</f>
        <v>795742</v>
      </c>
      <c r="D11" s="1262">
        <f>+B11-C11</f>
        <v>268088.82624000008</v>
      </c>
      <c r="E11" s="1197">
        <f>+C11/B11</f>
        <v>0.74799674945730588</v>
      </c>
      <c r="F11" s="1275">
        <f t="shared" ref="F11:F51" si="0">+D11/B11</f>
        <v>0.25200325054269418</v>
      </c>
    </row>
    <row r="12" spans="1:6">
      <c r="A12" s="1176" t="s">
        <v>813</v>
      </c>
      <c r="B12" s="1203">
        <f>SUM(B13:B22)</f>
        <v>202684.74470400001</v>
      </c>
      <c r="C12" s="1203">
        <f>SUM(C13:C22)</f>
        <v>37420</v>
      </c>
      <c r="D12" s="1262">
        <f>+B12-C12</f>
        <v>165264.74470400001</v>
      </c>
      <c r="E12" s="1197">
        <f>+C12/B12</f>
        <v>0.18462168948456392</v>
      </c>
      <c r="F12" s="1275">
        <f t="shared" si="0"/>
        <v>0.81537831051543608</v>
      </c>
    </row>
    <row r="13" spans="1:6" ht="33.75">
      <c r="A13" s="1177" t="s">
        <v>815</v>
      </c>
      <c r="B13" s="1173">
        <f>+'Ingresos Proyecciones'!L14</f>
        <v>101225.38649600001</v>
      </c>
      <c r="C13" s="1261">
        <v>4532</v>
      </c>
      <c r="D13" s="1210">
        <f>+B13-C13</f>
        <v>96693.386496000006</v>
      </c>
      <c r="E13" s="1200">
        <f>+C13/B13</f>
        <v>4.477137758500023E-2</v>
      </c>
      <c r="F13" s="1283">
        <f t="shared" si="0"/>
        <v>0.95522862241499973</v>
      </c>
    </row>
    <row r="14" spans="1:6" ht="22.5">
      <c r="A14" s="1182" t="s">
        <v>819</v>
      </c>
      <c r="B14" s="1173">
        <f>+'Ingresos Proyecciones'!L16</f>
        <v>2530.944</v>
      </c>
      <c r="C14" s="1261"/>
      <c r="D14" s="1210">
        <f t="shared" ref="D14:D51" si="1">+B14-C14</f>
        <v>2530.944</v>
      </c>
      <c r="E14" s="1200">
        <f t="shared" ref="E14:E51" si="2">+C14/B14</f>
        <v>0</v>
      </c>
      <c r="F14" s="1283">
        <f t="shared" si="0"/>
        <v>1</v>
      </c>
    </row>
    <row r="15" spans="1:6">
      <c r="A15" s="1177" t="s">
        <v>821</v>
      </c>
      <c r="B15" s="1173">
        <f>+'Ingresos Proyecciones'!L17</f>
        <v>73116.160000000003</v>
      </c>
      <c r="C15" s="1261">
        <v>32843</v>
      </c>
      <c r="D15" s="1210">
        <f t="shared" si="1"/>
        <v>40273.160000000003</v>
      </c>
      <c r="E15" s="1200">
        <f t="shared" si="2"/>
        <v>0.44918934473582856</v>
      </c>
      <c r="F15" s="1283">
        <f t="shared" si="0"/>
        <v>0.55081065526417139</v>
      </c>
    </row>
    <row r="16" spans="1:6">
      <c r="A16" s="1177" t="s">
        <v>825</v>
      </c>
      <c r="B16" s="1173">
        <f>+'Ingresos Proyecciones'!L19</f>
        <v>253.09440000000004</v>
      </c>
      <c r="C16" s="1261"/>
      <c r="D16" s="1210">
        <f t="shared" si="1"/>
        <v>253.09440000000004</v>
      </c>
      <c r="E16" s="1200">
        <f t="shared" si="2"/>
        <v>0</v>
      </c>
      <c r="F16" s="1283">
        <f t="shared" si="0"/>
        <v>1</v>
      </c>
    </row>
    <row r="17" spans="1:6">
      <c r="A17" s="1182" t="s">
        <v>827</v>
      </c>
      <c r="B17" s="1173">
        <f>+'Ingresos Proyecciones'!L20</f>
        <v>4428.5895680000003</v>
      </c>
      <c r="C17" s="1261"/>
      <c r="D17" s="1210">
        <f t="shared" si="1"/>
        <v>4428.5895680000003</v>
      </c>
      <c r="E17" s="1200">
        <f t="shared" si="2"/>
        <v>0</v>
      </c>
      <c r="F17" s="1283">
        <f t="shared" si="0"/>
        <v>1</v>
      </c>
    </row>
    <row r="18" spans="1:6">
      <c r="A18" s="1177" t="s">
        <v>900</v>
      </c>
      <c r="B18" s="1173">
        <f>+'Ingresos Proyecciones'!L21</f>
        <v>7591.7071360000009</v>
      </c>
      <c r="C18" s="1261"/>
      <c r="D18" s="1210">
        <f t="shared" si="1"/>
        <v>7591.7071360000009</v>
      </c>
      <c r="E18" s="1200">
        <f t="shared" si="2"/>
        <v>0</v>
      </c>
      <c r="F18" s="1283">
        <f t="shared" si="0"/>
        <v>1</v>
      </c>
    </row>
    <row r="19" spans="1:6">
      <c r="A19" s="1177" t="s">
        <v>830</v>
      </c>
      <c r="B19" s="1173">
        <f>+'Ingresos Proyecciones'!L22</f>
        <v>885.267968</v>
      </c>
      <c r="C19" s="1261"/>
      <c r="D19" s="1210">
        <f t="shared" si="1"/>
        <v>885.267968</v>
      </c>
      <c r="E19" s="1200">
        <f t="shared" si="2"/>
        <v>0</v>
      </c>
      <c r="F19" s="1283">
        <f t="shared" si="0"/>
        <v>1</v>
      </c>
    </row>
    <row r="20" spans="1:6" ht="22.5">
      <c r="A20" s="1177" t="s">
        <v>899</v>
      </c>
      <c r="B20" s="1173">
        <f>+'Ingresos Proyecciones'!L23</f>
        <v>2530.944</v>
      </c>
      <c r="C20" s="1261"/>
      <c r="D20" s="1210">
        <f t="shared" si="1"/>
        <v>2530.944</v>
      </c>
      <c r="E20" s="1200">
        <f t="shared" si="2"/>
        <v>0</v>
      </c>
      <c r="F20" s="1283">
        <f t="shared" si="0"/>
        <v>1</v>
      </c>
    </row>
    <row r="21" spans="1:6">
      <c r="A21" s="1182" t="s">
        <v>902</v>
      </c>
      <c r="B21" s="1173">
        <f>+'Ingresos Proyecciones'!L25</f>
        <v>1265.472</v>
      </c>
      <c r="C21" s="1261">
        <v>45</v>
      </c>
      <c r="D21" s="1210">
        <f t="shared" si="1"/>
        <v>1220.472</v>
      </c>
      <c r="E21" s="1200">
        <f t="shared" si="2"/>
        <v>3.5559854346836596E-2</v>
      </c>
      <c r="F21" s="1283">
        <f t="shared" si="0"/>
        <v>0.96444014565316338</v>
      </c>
    </row>
    <row r="22" spans="1:6">
      <c r="A22" s="1177" t="s">
        <v>901</v>
      </c>
      <c r="B22" s="1173">
        <f>+'Ingresos Proyecciones'!L24</f>
        <v>8857.1791360000007</v>
      </c>
      <c r="C22" s="1261"/>
      <c r="D22" s="1210">
        <f t="shared" si="1"/>
        <v>8857.1791360000007</v>
      </c>
      <c r="E22" s="1200">
        <f t="shared" si="2"/>
        <v>0</v>
      </c>
      <c r="F22" s="1283">
        <f t="shared" si="0"/>
        <v>1</v>
      </c>
    </row>
    <row r="23" spans="1:6">
      <c r="A23" s="1180" t="s">
        <v>836</v>
      </c>
      <c r="B23" s="1162">
        <f>SUM(B24:B26)</f>
        <v>36300.486144000002</v>
      </c>
      <c r="C23" s="1162">
        <f>SUM(C24:C26)</f>
        <v>0</v>
      </c>
      <c r="D23" s="1210">
        <f t="shared" si="1"/>
        <v>36300.486144000002</v>
      </c>
      <c r="E23" s="1200">
        <f t="shared" si="2"/>
        <v>0</v>
      </c>
      <c r="F23" s="1283">
        <f t="shared" si="0"/>
        <v>1</v>
      </c>
    </row>
    <row r="24" spans="1:6">
      <c r="A24" s="1177" t="s">
        <v>896</v>
      </c>
      <c r="B24" s="1173">
        <f>+'Ingresos Proyecciones'!L28</f>
        <v>12312.761344</v>
      </c>
      <c r="C24" s="1261"/>
      <c r="D24" s="1210">
        <f t="shared" si="1"/>
        <v>12312.761344</v>
      </c>
      <c r="E24" s="1200">
        <f t="shared" si="2"/>
        <v>0</v>
      </c>
      <c r="F24" s="1283">
        <f t="shared" si="0"/>
        <v>1</v>
      </c>
    </row>
    <row r="25" spans="1:6">
      <c r="A25" s="1177" t="s">
        <v>897</v>
      </c>
      <c r="B25" s="1173">
        <f>+'Ingresos Proyecciones'!L29</f>
        <v>12007.923200000001</v>
      </c>
      <c r="C25" s="1261"/>
      <c r="D25" s="1210">
        <f t="shared" si="1"/>
        <v>12007.923200000001</v>
      </c>
      <c r="E25" s="1200">
        <f t="shared" si="2"/>
        <v>0</v>
      </c>
      <c r="F25" s="1283">
        <f t="shared" si="0"/>
        <v>1</v>
      </c>
    </row>
    <row r="26" spans="1:6">
      <c r="A26" s="1177" t="s">
        <v>840</v>
      </c>
      <c r="B26" s="1173">
        <f>+'Ingresos Proyecciones'!L30</f>
        <v>11979.801600000001</v>
      </c>
      <c r="C26" s="1261"/>
      <c r="D26" s="1210">
        <f t="shared" si="1"/>
        <v>11979.801600000001</v>
      </c>
      <c r="E26" s="1200">
        <f t="shared" si="2"/>
        <v>0</v>
      </c>
      <c r="F26" s="1283">
        <f t="shared" si="0"/>
        <v>1</v>
      </c>
    </row>
    <row r="27" spans="1:6">
      <c r="A27" s="1145" t="s">
        <v>1292</v>
      </c>
      <c r="B27" s="1173">
        <f>+'Ingresos Proyecciones'!L31</f>
        <v>86528</v>
      </c>
      <c r="C27" s="1261"/>
      <c r="D27" s="1210">
        <f t="shared" si="1"/>
        <v>86528</v>
      </c>
      <c r="E27" s="1200">
        <f t="shared" si="2"/>
        <v>0</v>
      </c>
      <c r="F27" s="1283">
        <f t="shared" si="0"/>
        <v>1</v>
      </c>
    </row>
    <row r="28" spans="1:6" ht="22.5">
      <c r="A28" s="1145" t="s">
        <v>1293</v>
      </c>
      <c r="B28" s="1173">
        <f>+'Ingresos Proyecciones'!L32</f>
        <v>108160</v>
      </c>
      <c r="C28" s="1261"/>
      <c r="D28" s="1210">
        <f t="shared" si="1"/>
        <v>108160</v>
      </c>
      <c r="E28" s="1200">
        <f t="shared" si="2"/>
        <v>0</v>
      </c>
      <c r="F28" s="1283">
        <f t="shared" si="0"/>
        <v>1</v>
      </c>
    </row>
    <row r="29" spans="1:6">
      <c r="A29" s="1176" t="s">
        <v>851</v>
      </c>
      <c r="B29" s="1162">
        <f>+B30+B31</f>
        <v>32517.352192000006</v>
      </c>
      <c r="C29" s="1162">
        <f>+C30+C31</f>
        <v>42161</v>
      </c>
      <c r="D29" s="1210">
        <f t="shared" si="1"/>
        <v>-9643.6478079999943</v>
      </c>
      <c r="E29" s="1200">
        <f t="shared" si="2"/>
        <v>1.2965692824882755</v>
      </c>
      <c r="F29" s="1283">
        <f t="shared" si="0"/>
        <v>-0.29656928248827552</v>
      </c>
    </row>
    <row r="30" spans="1:6">
      <c r="A30" s="1177" t="s">
        <v>853</v>
      </c>
      <c r="B30" s="1173">
        <f>+'Ingresos Proyecciones'!L36</f>
        <v>26191.117056000006</v>
      </c>
      <c r="C30" s="1261">
        <v>42161</v>
      </c>
      <c r="D30" s="1210">
        <f t="shared" si="1"/>
        <v>-15969.882943999994</v>
      </c>
      <c r="E30" s="1200">
        <f t="shared" si="2"/>
        <v>1.6097442468702008</v>
      </c>
      <c r="F30" s="1283">
        <f t="shared" si="0"/>
        <v>-0.60974424687020079</v>
      </c>
    </row>
    <row r="31" spans="1:6">
      <c r="A31" s="1177" t="s">
        <v>903</v>
      </c>
      <c r="B31" s="1173">
        <f>+'Ingresos Proyecciones'!L37</f>
        <v>6326.2351360000011</v>
      </c>
      <c r="C31" s="1261"/>
      <c r="D31" s="1210">
        <f t="shared" si="1"/>
        <v>6326.2351360000011</v>
      </c>
      <c r="E31" s="1200">
        <f t="shared" si="2"/>
        <v>0</v>
      </c>
      <c r="F31" s="1283">
        <f t="shared" si="0"/>
        <v>1</v>
      </c>
    </row>
    <row r="32" spans="1:6">
      <c r="A32" s="1176" t="s">
        <v>864</v>
      </c>
      <c r="B32" s="1162">
        <f>+B33</f>
        <v>597640.24320000014</v>
      </c>
      <c r="C32" s="1162">
        <f>+C33</f>
        <v>716161</v>
      </c>
      <c r="D32" s="1210">
        <f t="shared" si="1"/>
        <v>-118520.75679999986</v>
      </c>
      <c r="E32" s="1200">
        <f t="shared" si="2"/>
        <v>1.1983145515191436</v>
      </c>
      <c r="F32" s="1283">
        <f t="shared" si="0"/>
        <v>-0.19831455151914346</v>
      </c>
    </row>
    <row r="33" spans="1:6" ht="22.5">
      <c r="A33" s="1176" t="s">
        <v>866</v>
      </c>
      <c r="B33" s="1162">
        <f>+B34</f>
        <v>597640.24320000014</v>
      </c>
      <c r="C33" s="1162">
        <f>+C34</f>
        <v>716161</v>
      </c>
      <c r="D33" s="1210">
        <f t="shared" si="1"/>
        <v>-118520.75679999986</v>
      </c>
      <c r="E33" s="1200">
        <f t="shared" si="2"/>
        <v>1.1983145515191436</v>
      </c>
      <c r="F33" s="1283">
        <f t="shared" si="0"/>
        <v>-0.19831455151914346</v>
      </c>
    </row>
    <row r="34" spans="1:6" ht="33.75">
      <c r="A34" s="1176" t="s">
        <v>868</v>
      </c>
      <c r="B34" s="1173">
        <f>+'Ingresos Proyecciones'!L44</f>
        <v>597640.24320000014</v>
      </c>
      <c r="C34" s="1261">
        <v>716161</v>
      </c>
      <c r="D34" s="1210">
        <f t="shared" si="1"/>
        <v>-118520.75679999986</v>
      </c>
      <c r="E34" s="1200">
        <f t="shared" si="2"/>
        <v>1.1983145515191436</v>
      </c>
      <c r="F34" s="1283">
        <f t="shared" si="0"/>
        <v>-0.19831455151914346</v>
      </c>
    </row>
    <row r="35" spans="1:6" ht="22.5">
      <c r="A35" s="1176" t="s">
        <v>872</v>
      </c>
      <c r="B35" s="1162">
        <f>+B36+B40+B45+B50</f>
        <v>5071120.4943359997</v>
      </c>
      <c r="C35" s="1162">
        <f>+C36+C40+C45+C50</f>
        <v>6511166</v>
      </c>
      <c r="D35" s="1210">
        <f t="shared" si="1"/>
        <v>-1440045.5056640003</v>
      </c>
      <c r="E35" s="1200">
        <f t="shared" si="2"/>
        <v>1.283969885407457</v>
      </c>
      <c r="F35" s="1283">
        <f t="shared" si="0"/>
        <v>-0.28396988540745693</v>
      </c>
    </row>
    <row r="36" spans="1:6" ht="22.5">
      <c r="A36" s="1176" t="s">
        <v>874</v>
      </c>
      <c r="B36" s="1162">
        <f>+B37+B38+B39</f>
        <v>472074.01113599999</v>
      </c>
      <c r="C36" s="1162">
        <f>+C37+C38+C39</f>
        <v>796438</v>
      </c>
      <c r="D36" s="1210">
        <f t="shared" si="1"/>
        <v>-324363.98886400001</v>
      </c>
      <c r="E36" s="1200">
        <f t="shared" si="2"/>
        <v>1.6871041006545771</v>
      </c>
      <c r="F36" s="1283">
        <f t="shared" si="0"/>
        <v>-0.68710410065457694</v>
      </c>
    </row>
    <row r="37" spans="1:6">
      <c r="A37" s="1177" t="s">
        <v>1164</v>
      </c>
      <c r="B37" s="1173">
        <f>+'Ingresos Proyecciones'!L49</f>
        <v>388243.56479999999</v>
      </c>
      <c r="C37" s="1261">
        <v>684288</v>
      </c>
      <c r="D37" s="1210">
        <f t="shared" si="1"/>
        <v>-296044.43520000001</v>
      </c>
      <c r="E37" s="1200">
        <f t="shared" si="2"/>
        <v>1.7625224525035064</v>
      </c>
      <c r="F37" s="1283">
        <f t="shared" si="0"/>
        <v>-0.76252245250350636</v>
      </c>
    </row>
    <row r="38" spans="1:6">
      <c r="A38" s="1177" t="s">
        <v>656</v>
      </c>
      <c r="B38" s="1173">
        <f>+'Ingresos Proyecciones'!L50</f>
        <v>7591.7071360000009</v>
      </c>
      <c r="C38" s="1309">
        <v>1009</v>
      </c>
      <c r="D38" s="1210">
        <f t="shared" si="1"/>
        <v>6582.7071360000009</v>
      </c>
      <c r="E38" s="1200">
        <f t="shared" si="2"/>
        <v>0.13290818282693037</v>
      </c>
      <c r="F38" s="1283">
        <f t="shared" si="0"/>
        <v>0.8670918171730696</v>
      </c>
    </row>
    <row r="39" spans="1:6" ht="22.5">
      <c r="A39" s="1182" t="s">
        <v>894</v>
      </c>
      <c r="B39" s="1173">
        <f>+'Ingresos Proyecciones'!L51</f>
        <v>76238.739199999996</v>
      </c>
      <c r="C39" s="1309">
        <v>111141</v>
      </c>
      <c r="D39" s="1210">
        <f t="shared" si="1"/>
        <v>-34902.260800000004</v>
      </c>
      <c r="E39" s="1200">
        <f t="shared" si="2"/>
        <v>1.4578021772951881</v>
      </c>
      <c r="F39" s="1283">
        <f t="shared" si="0"/>
        <v>-0.45780217729518807</v>
      </c>
    </row>
    <row r="40" spans="1:6" ht="22.5">
      <c r="A40" s="1176" t="s">
        <v>880</v>
      </c>
      <c r="B40" s="1162">
        <f>SUM(B41:B44)</f>
        <v>3210527.3407999999</v>
      </c>
      <c r="C40" s="1162">
        <f>SUM(C41:C44)</f>
        <v>3552675</v>
      </c>
      <c r="D40" s="1210">
        <f t="shared" si="1"/>
        <v>-342147.65920000011</v>
      </c>
      <c r="E40" s="1200">
        <f t="shared" si="2"/>
        <v>1.1065705483494632</v>
      </c>
      <c r="F40" s="1283">
        <f t="shared" si="0"/>
        <v>-0.10657054834946326</v>
      </c>
    </row>
    <row r="41" spans="1:6">
      <c r="A41" s="1177" t="s">
        <v>882</v>
      </c>
      <c r="B41" s="1173">
        <f>+'Ingresos Proyecciones'!L53</f>
        <v>1787381.8560000001</v>
      </c>
      <c r="C41" s="1261">
        <v>2320530</v>
      </c>
      <c r="D41" s="1210">
        <f t="shared" si="1"/>
        <v>-533148.14399999985</v>
      </c>
      <c r="E41" s="1200">
        <f t="shared" si="2"/>
        <v>1.2982844109166116</v>
      </c>
      <c r="F41" s="1283">
        <f t="shared" si="0"/>
        <v>-0.29828441091661156</v>
      </c>
    </row>
    <row r="42" spans="1:6">
      <c r="A42" s="1177" t="s">
        <v>655</v>
      </c>
      <c r="B42" s="1173">
        <f>+'Ingresos Proyecciones'!L54</f>
        <v>24332.755200000003</v>
      </c>
      <c r="C42" s="1309">
        <v>1507</v>
      </c>
      <c r="D42" s="1210">
        <f t="shared" si="1"/>
        <v>22825.755200000003</v>
      </c>
      <c r="E42" s="1200">
        <f t="shared" si="2"/>
        <v>6.1932978309007923E-2</v>
      </c>
      <c r="F42" s="1283">
        <f t="shared" si="0"/>
        <v>0.9380670216909921</v>
      </c>
    </row>
    <row r="43" spans="1:6">
      <c r="A43" s="1177" t="s">
        <v>884</v>
      </c>
      <c r="B43" s="1173">
        <f>+'Ingresos Proyecciones'!L55</f>
        <v>1288400.8384</v>
      </c>
      <c r="C43" s="1261">
        <v>1070655</v>
      </c>
      <c r="D43" s="1210">
        <f t="shared" si="1"/>
        <v>217745.83840000001</v>
      </c>
      <c r="E43" s="1200">
        <f t="shared" si="2"/>
        <v>0.83099526800183743</v>
      </c>
      <c r="F43" s="1283">
        <f t="shared" si="0"/>
        <v>0.1690047319981626</v>
      </c>
    </row>
    <row r="44" spans="1:6" ht="22.5">
      <c r="A44" s="1177" t="s">
        <v>886</v>
      </c>
      <c r="B44" s="1173">
        <f>+'Ingresos Proyecciones'!L56</f>
        <v>110411.8912</v>
      </c>
      <c r="C44" s="1261">
        <v>159983</v>
      </c>
      <c r="D44" s="1210">
        <f t="shared" si="1"/>
        <v>-49571.108800000002</v>
      </c>
      <c r="E44" s="1200">
        <f t="shared" si="2"/>
        <v>1.4489653085482155</v>
      </c>
      <c r="F44" s="1283">
        <f t="shared" si="0"/>
        <v>-0.44896530854821554</v>
      </c>
    </row>
    <row r="45" spans="1:6" ht="33.75">
      <c r="A45" s="1176" t="s">
        <v>892</v>
      </c>
      <c r="B45" s="1195">
        <f>SUM(B46:B49)</f>
        <v>1383111.1424000002</v>
      </c>
      <c r="C45" s="1195">
        <f>SUM(C46:C49)</f>
        <v>2138311</v>
      </c>
      <c r="D45" s="1210">
        <f t="shared" si="1"/>
        <v>-755199.85759999976</v>
      </c>
      <c r="E45" s="1200">
        <f t="shared" si="2"/>
        <v>1.5460153088562087</v>
      </c>
      <c r="F45" s="1283">
        <f t="shared" si="0"/>
        <v>-0.54601530885620864</v>
      </c>
    </row>
    <row r="46" spans="1:6">
      <c r="A46" s="1177" t="s">
        <v>482</v>
      </c>
      <c r="B46" s="1163">
        <f>+'Ingresos Proyecciones'!L60</f>
        <v>630083.91680000012</v>
      </c>
      <c r="C46" s="1261">
        <v>1191344</v>
      </c>
      <c r="D46" s="1210">
        <f t="shared" si="1"/>
        <v>-561260.08319999988</v>
      </c>
      <c r="E46" s="1200">
        <f t="shared" si="2"/>
        <v>1.8907703692080651</v>
      </c>
      <c r="F46" s="1283">
        <f t="shared" si="0"/>
        <v>-0.89077036920806507</v>
      </c>
    </row>
    <row r="47" spans="1:6">
      <c r="A47" s="1177" t="s">
        <v>483</v>
      </c>
      <c r="B47" s="1163">
        <f>+'Ingresos Proyecciones'!L61</f>
        <v>61471.654399999999</v>
      </c>
      <c r="C47" s="1261">
        <v>72063</v>
      </c>
      <c r="D47" s="1210">
        <f t="shared" si="1"/>
        <v>-10591.345600000001</v>
      </c>
      <c r="E47" s="1200">
        <f t="shared" si="2"/>
        <v>1.1722964137435026</v>
      </c>
      <c r="F47" s="1283">
        <f t="shared" si="0"/>
        <v>-0.17229641374350257</v>
      </c>
    </row>
    <row r="48" spans="1:6">
      <c r="A48" s="1177" t="s">
        <v>484</v>
      </c>
      <c r="B48" s="1163">
        <f>+'Ingresos Proyecciones'!L62</f>
        <v>46103.200000000004</v>
      </c>
      <c r="C48" s="1261">
        <v>54047</v>
      </c>
      <c r="D48" s="1210">
        <f t="shared" si="1"/>
        <v>-7943.7999999999956</v>
      </c>
      <c r="E48" s="1200">
        <f t="shared" si="2"/>
        <v>1.1723047424039978</v>
      </c>
      <c r="F48" s="1283">
        <f t="shared" si="0"/>
        <v>-0.17230474240399787</v>
      </c>
    </row>
    <row r="49" spans="1:6">
      <c r="A49" s="1177" t="s">
        <v>485</v>
      </c>
      <c r="B49" s="1163">
        <f>+'Ingresos Proyecciones'!L63</f>
        <v>645452.37120000005</v>
      </c>
      <c r="C49" s="1261">
        <v>820857</v>
      </c>
      <c r="D49" s="1210">
        <f t="shared" si="1"/>
        <v>-175404.62879999995</v>
      </c>
      <c r="E49" s="1200">
        <f t="shared" si="2"/>
        <v>1.2717545656759994</v>
      </c>
      <c r="F49" s="1283">
        <f t="shared" si="0"/>
        <v>-0.27175456567599937</v>
      </c>
    </row>
    <row r="50" spans="1:6">
      <c r="A50" s="1176" t="s">
        <v>955</v>
      </c>
      <c r="B50" s="1162">
        <f>+B51</f>
        <v>5408</v>
      </c>
      <c r="C50" s="1162">
        <f>+C51</f>
        <v>23742</v>
      </c>
      <c r="D50" s="1210">
        <f t="shared" si="1"/>
        <v>-18334</v>
      </c>
      <c r="E50" s="1200">
        <f t="shared" si="2"/>
        <v>4.3901627218934909</v>
      </c>
      <c r="F50" s="1283">
        <f t="shared" si="0"/>
        <v>-3.3901627218934913</v>
      </c>
    </row>
    <row r="51" spans="1:6" ht="22.5">
      <c r="A51" s="1176" t="s">
        <v>904</v>
      </c>
      <c r="B51" s="1173">
        <f>+'Ingresos Proyecciones'!L80</f>
        <v>5408</v>
      </c>
      <c r="C51" s="1261">
        <v>23742</v>
      </c>
      <c r="D51" s="1210">
        <f t="shared" si="1"/>
        <v>-18334</v>
      </c>
      <c r="E51" s="1200">
        <f t="shared" si="2"/>
        <v>4.3901627218934909</v>
      </c>
      <c r="F51" s="1283">
        <f t="shared" si="0"/>
        <v>-3.3901627218934913</v>
      </c>
    </row>
    <row r="52" spans="1:6" ht="23.25" customHeight="1">
      <c r="A52" s="1157"/>
      <c r="B52" s="1263"/>
      <c r="C52" s="1263"/>
      <c r="D52" s="1263"/>
      <c r="E52" s="893"/>
    </row>
    <row r="53" spans="1:6" ht="23.25" customHeight="1">
      <c r="A53" s="1157"/>
      <c r="B53" s="1263"/>
      <c r="C53" s="1263"/>
      <c r="D53" s="1263"/>
      <c r="E53" s="893"/>
    </row>
    <row r="54" spans="1:6" ht="23.25" customHeight="1">
      <c r="A54" s="1157"/>
      <c r="B54" s="1263"/>
      <c r="C54" s="1263"/>
      <c r="D54" s="1263"/>
      <c r="E54" s="893"/>
    </row>
    <row r="55" spans="1:6">
      <c r="A55" s="1263"/>
      <c r="B55" s="1263"/>
      <c r="C55" s="893"/>
    </row>
    <row r="56" spans="1:6">
      <c r="A56" s="1264"/>
      <c r="B56" s="1264"/>
      <c r="C56" s="1265"/>
    </row>
    <row r="57" spans="1:6">
      <c r="A57" s="1241" t="s">
        <v>264</v>
      </c>
      <c r="B57" s="1263"/>
      <c r="C57" s="893"/>
    </row>
    <row r="58" spans="1:6">
      <c r="A58" s="1241" t="s">
        <v>265</v>
      </c>
      <c r="B58" s="1263"/>
      <c r="C58" s="893"/>
    </row>
    <row r="59" spans="1:6">
      <c r="A59" s="1263" t="s">
        <v>266</v>
      </c>
      <c r="B59" s="1263"/>
      <c r="C59" s="893"/>
    </row>
    <row r="60" spans="1:6">
      <c r="A60" s="1157"/>
      <c r="B60" s="1263"/>
      <c r="C60" s="1263"/>
      <c r="D60" s="1263"/>
      <c r="E60" s="893"/>
    </row>
    <row r="61" spans="1:6">
      <c r="A61" s="1157"/>
      <c r="B61" s="1263"/>
      <c r="C61" s="1263"/>
      <c r="D61" s="1263"/>
      <c r="E61" s="893"/>
    </row>
    <row r="62" spans="1:6">
      <c r="A62" s="1157"/>
      <c r="B62" s="1263"/>
      <c r="C62" s="1263"/>
      <c r="D62" s="1263"/>
      <c r="E62" s="893"/>
    </row>
    <row r="63" spans="1:6">
      <c r="A63" s="1157"/>
      <c r="B63" s="1263"/>
      <c r="C63" s="1263"/>
      <c r="D63" s="1263"/>
      <c r="E63" s="893"/>
    </row>
    <row r="64" spans="1:6">
      <c r="A64" s="1157"/>
      <c r="B64" s="1263"/>
      <c r="C64" s="1263"/>
      <c r="D64" s="1263"/>
      <c r="E64" s="893"/>
    </row>
    <row r="65" spans="1:5">
      <c r="A65" s="1157"/>
      <c r="B65" s="1263"/>
      <c r="C65" s="1263"/>
      <c r="D65" s="1263"/>
      <c r="E65" s="893"/>
    </row>
  </sheetData>
  <mergeCells count="6">
    <mergeCell ref="A6:F6"/>
    <mergeCell ref="A5:F5"/>
    <mergeCell ref="A1:F1"/>
    <mergeCell ref="A2:F2"/>
    <mergeCell ref="A3:F3"/>
    <mergeCell ref="A4:F4"/>
  </mergeCells>
  <phoneticPr fontId="33" type="noConversion"/>
  <printOptions horizontalCentered="1"/>
  <pageMargins left="0.19685039370078741" right="0.19685039370078741" top="0.19685039370078741" bottom="0.19685039370078741" header="0" footer="0"/>
  <pageSetup fitToHeight="2" orientation="portrait" horizontalDpi="4294967295" r:id="rId1"/>
  <headerFooter alignWithMargins="0">
    <oddFooter>Página &amp;P de &amp;N</oddFooter>
  </headerFooter>
  <drawing r:id="rId2"/>
</worksheet>
</file>

<file path=xl/worksheets/sheet10.xml><?xml version="1.0" encoding="utf-8"?>
<worksheet xmlns="http://schemas.openxmlformats.org/spreadsheetml/2006/main" xmlns:r="http://schemas.openxmlformats.org/officeDocument/2006/relationships">
  <sheetPr codeName="Hoja7"/>
  <dimension ref="A1:K191"/>
  <sheetViews>
    <sheetView topLeftCell="A26" zoomScale="80" workbookViewId="0">
      <selection activeCell="C110" sqref="C110"/>
    </sheetView>
  </sheetViews>
  <sheetFormatPr baseColWidth="10" defaultRowHeight="15"/>
  <cols>
    <col min="1" max="1" width="12.28515625" style="475" bestFit="1" customWidth="1"/>
    <col min="2" max="2" width="70.7109375" style="476" customWidth="1"/>
    <col min="3" max="3" width="27.7109375" style="476" customWidth="1"/>
    <col min="4" max="4" width="14.42578125" style="476" customWidth="1"/>
    <col min="5" max="5" width="14.42578125" style="475" hidden="1" customWidth="1"/>
    <col min="6" max="6" width="16.42578125" style="475" hidden="1" customWidth="1"/>
    <col min="7" max="7" width="17.5703125" style="475" hidden="1" customWidth="1"/>
    <col min="8" max="8" width="15" style="475" customWidth="1"/>
    <col min="9" max="9" width="16.85546875" style="475" customWidth="1"/>
    <col min="10" max="10" width="15.85546875" style="475" customWidth="1"/>
    <col min="11" max="11" width="13" style="475" customWidth="1"/>
    <col min="12" max="12" width="11.7109375" style="475" customWidth="1"/>
    <col min="13" max="13" width="14.42578125" style="475" customWidth="1"/>
    <col min="14" max="14" width="13.42578125" style="475" customWidth="1"/>
    <col min="15" max="22" width="11.42578125" style="475"/>
    <col min="23" max="23" width="10.85546875" style="475" customWidth="1"/>
    <col min="24" max="26" width="11.42578125" style="475"/>
    <col min="27" max="27" width="34.5703125" style="475" customWidth="1"/>
    <col min="28" max="16384" width="11.42578125" style="475"/>
  </cols>
  <sheetData>
    <row r="1" spans="2:7" ht="20.25" customHeight="1" thickBot="1">
      <c r="B1" s="784" t="s">
        <v>341</v>
      </c>
    </row>
    <row r="2" spans="2:7" hidden="1">
      <c r="B2" s="475"/>
    </row>
    <row r="3" spans="2:7" ht="17.25" hidden="1">
      <c r="B3" s="531" t="s">
        <v>780</v>
      </c>
    </row>
    <row r="4" spans="2:7" ht="17.25" hidden="1">
      <c r="B4" s="531" t="s">
        <v>781</v>
      </c>
    </row>
    <row r="5" spans="2:7" ht="17.25" hidden="1">
      <c r="B5" s="531"/>
    </row>
    <row r="6" spans="2:7" ht="15.75" hidden="1" thickBot="1">
      <c r="B6" s="475"/>
    </row>
    <row r="7" spans="2:7" hidden="1">
      <c r="B7" s="532" t="s">
        <v>258</v>
      </c>
      <c r="C7" s="690">
        <f>Ingresos!B6</f>
        <v>0</v>
      </c>
      <c r="D7" s="533"/>
      <c r="E7" s="533"/>
      <c r="F7" s="476"/>
      <c r="G7" s="476"/>
    </row>
    <row r="8" spans="2:7">
      <c r="B8" s="532" t="s">
        <v>157</v>
      </c>
      <c r="C8" s="690" t="str">
        <f>Ingresos!B8</f>
        <v>MUNICIPIO DE LA VEGA</v>
      </c>
      <c r="D8" s="533"/>
      <c r="E8" s="533"/>
      <c r="F8" s="533"/>
      <c r="G8" s="533"/>
    </row>
    <row r="9" spans="2:7">
      <c r="B9" s="534" t="s">
        <v>342</v>
      </c>
      <c r="C9" s="691">
        <f>Ingresos!B10</f>
        <v>2005</v>
      </c>
      <c r="D9" s="476">
        <v>1396</v>
      </c>
      <c r="E9" s="476"/>
      <c r="F9" s="535"/>
      <c r="G9" s="476"/>
    </row>
    <row r="10" spans="2:7" ht="15.75" thickBot="1">
      <c r="B10" s="536" t="s">
        <v>343</v>
      </c>
      <c r="C10" s="692">
        <f>Ingresos!B12</f>
        <v>6</v>
      </c>
      <c r="E10" s="476"/>
      <c r="F10" s="476"/>
      <c r="G10" s="476"/>
    </row>
    <row r="11" spans="2:7" ht="15.75" customHeight="1" thickBot="1">
      <c r="B11" s="536" t="s">
        <v>344</v>
      </c>
      <c r="C11" s="692">
        <f>Ingresos!B14</f>
        <v>0</v>
      </c>
      <c r="D11" s="533"/>
      <c r="E11" s="533"/>
      <c r="F11" s="476"/>
      <c r="G11" s="476"/>
    </row>
    <row r="12" spans="2:7" ht="15" customHeight="1">
      <c r="B12" s="475"/>
      <c r="E12" s="476"/>
      <c r="F12" s="476"/>
      <c r="G12" s="476"/>
    </row>
    <row r="13" spans="2:7" ht="15" customHeight="1">
      <c r="B13" s="537" t="s">
        <v>788</v>
      </c>
      <c r="C13" s="537"/>
      <c r="D13" s="537"/>
    </row>
    <row r="14" spans="2:7" ht="15.75" customHeight="1" thickBot="1">
      <c r="B14" s="475"/>
    </row>
    <row r="15" spans="2:7" ht="15" customHeight="1">
      <c r="B15" s="532" t="s">
        <v>345</v>
      </c>
      <c r="C15" s="690" t="str">
        <f>Ingresos!B17</f>
        <v>X</v>
      </c>
    </row>
    <row r="16" spans="2:7" ht="15" customHeight="1">
      <c r="B16" s="534" t="s">
        <v>346</v>
      </c>
      <c r="C16" s="691">
        <f>Ingresos!B18</f>
        <v>0</v>
      </c>
    </row>
    <row r="17" spans="1:8" ht="15.75" customHeight="1" thickBot="1">
      <c r="B17" s="536" t="s">
        <v>347</v>
      </c>
      <c r="C17" s="692">
        <f>Ingresos!B19</f>
        <v>0</v>
      </c>
    </row>
    <row r="18" spans="1:8" ht="15" customHeight="1">
      <c r="B18" s="475"/>
      <c r="H18" s="476"/>
    </row>
    <row r="19" spans="1:8" s="538" customFormat="1" ht="15" customHeight="1">
      <c r="B19" s="539" t="s">
        <v>50</v>
      </c>
      <c r="C19" s="539"/>
      <c r="D19" s="539" t="str">
        <f>Ingresos!D21</f>
        <v>X</v>
      </c>
      <c r="H19" s="540"/>
    </row>
    <row r="20" spans="1:8" ht="15" customHeight="1">
      <c r="B20" s="541" t="s">
        <v>793</v>
      </c>
      <c r="C20" s="542"/>
      <c r="D20" s="539">
        <f>Ingresos!I21</f>
        <v>37257</v>
      </c>
      <c r="E20" s="543"/>
      <c r="F20" s="543"/>
      <c r="G20" s="543"/>
      <c r="H20" s="544"/>
    </row>
    <row r="21" spans="1:8" ht="15.75" customHeight="1" thickBot="1">
      <c r="B21" s="541" t="s">
        <v>795</v>
      </c>
      <c r="C21" s="545"/>
      <c r="D21" s="539">
        <f>Ingresos!I22</f>
        <v>42735</v>
      </c>
      <c r="E21" s="543"/>
      <c r="F21" s="543"/>
      <c r="G21" s="543"/>
      <c r="H21" s="544"/>
    </row>
    <row r="22" spans="1:8" ht="15.75" customHeight="1" thickBot="1">
      <c r="B22" s="539"/>
      <c r="C22" s="546" t="e">
        <f>+C38+C43+C52+C60+C67+C74+C104+C127+C143+C156</f>
        <v>#N/A</v>
      </c>
      <c r="D22" s="546">
        <f>+D38+D43+D52+D60+D67+D74+D104+D127+D143+D156</f>
        <v>0</v>
      </c>
      <c r="E22" s="546">
        <f>+E38+E43+E52+E60+E67+E74+E104+E127+E143+E156</f>
        <v>0</v>
      </c>
      <c r="H22" s="544"/>
    </row>
    <row r="23" spans="1:8" ht="15.75" customHeight="1" thickBot="1">
      <c r="B23" s="475"/>
      <c r="C23" s="707" t="e">
        <f>+C28+C50+C57+C65+C72+C79+C117+C118+C119+C120+C121+C122+C123+C124+C125+C36</f>
        <v>#REF!</v>
      </c>
      <c r="D23" s="707" t="e">
        <f>+D28+D50+D57+D65+D72+D79+D117+D118+D119+D120+D121+D122+D123+D124+D125+D36</f>
        <v>#REF!</v>
      </c>
      <c r="E23" s="707" t="e">
        <f>+E28+E50+E57+E65+E72+E79+E117+E118+E119+E120+E121+E122+E123+E124+E125+E36</f>
        <v>#REF!</v>
      </c>
    </row>
    <row r="24" spans="1:8" ht="15.75" thickBot="1">
      <c r="B24" s="475" t="s">
        <v>348</v>
      </c>
      <c r="C24" s="708"/>
      <c r="D24" s="475"/>
    </row>
    <row r="25" spans="1:8" ht="45">
      <c r="A25" s="481" t="s">
        <v>349</v>
      </c>
      <c r="B25" s="547" t="s">
        <v>797</v>
      </c>
      <c r="C25" s="547" t="str">
        <f>"Escenario Financiero Año"&amp;" "&amp;(Ingresos!$B$10)</f>
        <v>Escenario Financiero Año 2005</v>
      </c>
      <c r="D25" s="547" t="s">
        <v>350</v>
      </c>
      <c r="E25" s="548" t="s">
        <v>351</v>
      </c>
      <c r="F25" s="547" t="s">
        <v>352</v>
      </c>
      <c r="G25" s="547" t="s">
        <v>353</v>
      </c>
    </row>
    <row r="26" spans="1:8" ht="1.5" customHeight="1" thickBot="1">
      <c r="A26" s="482"/>
      <c r="B26" s="549"/>
      <c r="C26" s="549"/>
      <c r="D26" s="549"/>
      <c r="E26" s="550"/>
      <c r="F26" s="549" t="s">
        <v>35</v>
      </c>
      <c r="G26" s="549" t="s">
        <v>35</v>
      </c>
    </row>
    <row r="27" spans="1:8" s="524" customFormat="1" ht="15.75" customHeight="1">
      <c r="A27" s="551" t="s">
        <v>354</v>
      </c>
      <c r="B27" s="522" t="s">
        <v>355</v>
      </c>
      <c r="C27" s="552"/>
      <c r="D27" s="553"/>
      <c r="E27" s="554"/>
      <c r="F27" s="555"/>
      <c r="G27" s="555"/>
    </row>
    <row r="28" spans="1:8" s="524" customFormat="1" ht="15.75" customHeight="1">
      <c r="A28" s="551" t="s">
        <v>356</v>
      </c>
      <c r="B28" s="556" t="s">
        <v>357</v>
      </c>
      <c r="C28" s="557" t="e">
        <f>+C29-C36+C37</f>
        <v>#REF!</v>
      </c>
      <c r="D28" s="557" t="e">
        <f>+D29-D36+D37</f>
        <v>#REF!</v>
      </c>
      <c r="E28" s="558" t="e">
        <f>+E29-E36+E37</f>
        <v>#REF!</v>
      </c>
      <c r="F28" s="559" t="e">
        <f>+E28/D28</f>
        <v>#REF!</v>
      </c>
      <c r="G28" s="559" t="e">
        <f t="shared" ref="G28:G47" si="0">+E28/C28</f>
        <v>#REF!</v>
      </c>
    </row>
    <row r="29" spans="1:8" s="524" customFormat="1" ht="15.75" customHeight="1">
      <c r="A29" s="560" t="str">
        <f>+Ingresos!A29</f>
        <v>111</v>
      </c>
      <c r="B29" s="556" t="s">
        <v>358</v>
      </c>
      <c r="C29" s="561" t="e">
        <f>+C30+C31+C32+C33+C34+C35</f>
        <v>#REF!</v>
      </c>
      <c r="D29" s="561" t="e">
        <f>+D30+D31+D32+D33+D34+D35</f>
        <v>#REF!</v>
      </c>
      <c r="E29" s="558" t="e">
        <f>+E30+E31+E32+E33+E34+E35</f>
        <v>#REF!</v>
      </c>
      <c r="F29" s="559" t="e">
        <f t="shared" ref="F29:F37" si="1">+E29/D29</f>
        <v>#REF!</v>
      </c>
      <c r="G29" s="559" t="e">
        <f t="shared" si="0"/>
        <v>#REF!</v>
      </c>
    </row>
    <row r="30" spans="1:8" s="524" customFormat="1" ht="26.25" customHeight="1">
      <c r="A30" s="562" t="s">
        <v>359</v>
      </c>
      <c r="B30" s="563" t="s">
        <v>360</v>
      </c>
      <c r="C30" s="564">
        <f>+'Ley 617'!D11</f>
        <v>80000</v>
      </c>
      <c r="D30" s="564">
        <f>+'Ley 617'!E11</f>
        <v>80000</v>
      </c>
      <c r="E30" s="565">
        <f>+'Ley 617'!F11</f>
        <v>0</v>
      </c>
      <c r="F30" s="566">
        <f t="shared" si="1"/>
        <v>0</v>
      </c>
      <c r="G30" s="566">
        <f t="shared" si="0"/>
        <v>0</v>
      </c>
    </row>
    <row r="31" spans="1:8" s="524" customFormat="1" ht="15.75" customHeight="1">
      <c r="A31" s="562" t="s">
        <v>361</v>
      </c>
      <c r="B31" s="525" t="s">
        <v>819</v>
      </c>
      <c r="C31" s="564">
        <f>+'Ley 617'!D12</f>
        <v>2000</v>
      </c>
      <c r="D31" s="564">
        <f>+'Ley 617'!E12</f>
        <v>2000</v>
      </c>
      <c r="E31" s="565">
        <f>+'Ley 617'!F12</f>
        <v>0</v>
      </c>
      <c r="F31" s="566">
        <f t="shared" si="1"/>
        <v>0</v>
      </c>
      <c r="G31" s="566">
        <f t="shared" si="0"/>
        <v>0</v>
      </c>
    </row>
    <row r="32" spans="1:8" s="524" customFormat="1" ht="15.75" customHeight="1">
      <c r="A32" s="562" t="s">
        <v>820</v>
      </c>
      <c r="B32" s="525" t="s">
        <v>821</v>
      </c>
      <c r="C32" s="564">
        <f>+'Ley 617'!D13</f>
        <v>45000</v>
      </c>
      <c r="D32" s="564">
        <f>+'Ley 617'!E13</f>
        <v>45000</v>
      </c>
      <c r="E32" s="565">
        <f>+'Ley 617'!F13</f>
        <v>0</v>
      </c>
      <c r="F32" s="566">
        <f t="shared" si="1"/>
        <v>0</v>
      </c>
      <c r="G32" s="566">
        <f t="shared" si="0"/>
        <v>0</v>
      </c>
    </row>
    <row r="33" spans="1:7" s="524" customFormat="1" ht="15.75" customHeight="1">
      <c r="A33" s="562" t="s">
        <v>835</v>
      </c>
      <c r="B33" s="525" t="s">
        <v>823</v>
      </c>
      <c r="C33" s="564">
        <f>'Ley 617'!D14</f>
        <v>0</v>
      </c>
      <c r="D33" s="564">
        <f>'Ley 617'!E14</f>
        <v>0</v>
      </c>
      <c r="E33" s="565">
        <f>'Ley 617'!F14</f>
        <v>0</v>
      </c>
      <c r="F33" s="566" t="e">
        <f t="shared" si="1"/>
        <v>#DIV/0!</v>
      </c>
      <c r="G33" s="566" t="e">
        <f t="shared" si="0"/>
        <v>#DIV/0!</v>
      </c>
    </row>
    <row r="34" spans="1:7" s="524" customFormat="1" ht="15.75" customHeight="1">
      <c r="A34" s="567" t="s">
        <v>362</v>
      </c>
      <c r="B34" s="525" t="s">
        <v>363</v>
      </c>
      <c r="C34" s="564" t="e">
        <f>+'Ley 617'!#REF!</f>
        <v>#REF!</v>
      </c>
      <c r="D34" s="564" t="e">
        <f>+'Ley 617'!#REF!</f>
        <v>#REF!</v>
      </c>
      <c r="E34" s="565" t="e">
        <f>+'Ley 617'!#REF!</f>
        <v>#REF!</v>
      </c>
      <c r="F34" s="566" t="e">
        <f>+E34/D34</f>
        <v>#REF!</v>
      </c>
      <c r="G34" s="566" t="e">
        <f>+E34/C34</f>
        <v>#REF!</v>
      </c>
    </row>
    <row r="35" spans="1:7" s="524" customFormat="1" ht="15.75" customHeight="1">
      <c r="A35" s="560" t="s">
        <v>364</v>
      </c>
      <c r="B35" s="525" t="s">
        <v>366</v>
      </c>
      <c r="C35" s="564" t="e">
        <f>+'Ley 617'!D10-'Ley 617'!D11-'Ley 617'!D12-'Ley 617'!D13-'Ley 617'!D14-'Ley 617'!#REF!</f>
        <v>#REF!</v>
      </c>
      <c r="D35" s="564" t="e">
        <f>+'Ley 617'!E10-'Ley 617'!E11-'Ley 617'!E12-'Ley 617'!E13-'Ley 617'!E14-'Ley 617'!#REF!</f>
        <v>#REF!</v>
      </c>
      <c r="E35" s="565" t="e">
        <f>+'Ley 617'!F10-'Ley 617'!F11-'Ley 617'!F12-'Ley 617'!F13-'Ley 617'!F14-'Ley 617'!#REF!</f>
        <v>#REF!</v>
      </c>
      <c r="F35" s="566" t="e">
        <f>+E35/D35</f>
        <v>#REF!</v>
      </c>
      <c r="G35" s="566" t="e">
        <f>+E35/C35</f>
        <v>#REF!</v>
      </c>
    </row>
    <row r="36" spans="1:7" s="524" customFormat="1" ht="15.75" customHeight="1">
      <c r="A36" s="551" t="s">
        <v>367</v>
      </c>
      <c r="B36" s="525" t="s">
        <v>368</v>
      </c>
      <c r="C36" s="594" t="e">
        <f>+C179</f>
        <v>#REF!</v>
      </c>
      <c r="D36" s="594" t="e">
        <f>+D179</f>
        <v>#REF!</v>
      </c>
      <c r="E36" s="594" t="e">
        <f>+E179</f>
        <v>#REF!</v>
      </c>
      <c r="F36" s="566" t="e">
        <f>+E36/D36</f>
        <v>#REF!</v>
      </c>
      <c r="G36" s="566" t="e">
        <f>+E36/C36</f>
        <v>#REF!</v>
      </c>
    </row>
    <row r="37" spans="1:7" s="524" customFormat="1" ht="15.75" customHeight="1">
      <c r="A37" s="560" t="str">
        <f>+Ingresos!A50</f>
        <v>112</v>
      </c>
      <c r="B37" s="556" t="s">
        <v>369</v>
      </c>
      <c r="C37" s="561" t="e">
        <f>+'Ley 617'!D25</f>
        <v>#REF!</v>
      </c>
      <c r="D37" s="561" t="e">
        <f>+'Ley 617'!E25</f>
        <v>#REF!</v>
      </c>
      <c r="E37" s="558" t="e">
        <f>+'Ley 617'!F25</f>
        <v>#REF!</v>
      </c>
      <c r="F37" s="559" t="e">
        <f t="shared" si="1"/>
        <v>#REF!</v>
      </c>
      <c r="G37" s="559" t="e">
        <f t="shared" si="0"/>
        <v>#REF!</v>
      </c>
    </row>
    <row r="38" spans="1:7" s="524" customFormat="1" ht="15.75" customHeight="1">
      <c r="A38" s="551" t="s">
        <v>370</v>
      </c>
      <c r="B38" s="556" t="s">
        <v>371</v>
      </c>
      <c r="C38" s="557" t="e">
        <f>SUM(C39:C42)</f>
        <v>#N/A</v>
      </c>
      <c r="D38" s="561">
        <f>SUM(D39:D42)</f>
        <v>0</v>
      </c>
      <c r="E38" s="558">
        <f>SUM(E39:E42)</f>
        <v>0</v>
      </c>
      <c r="F38" s="559" t="e">
        <f t="shared" ref="F38:F77" si="2">+E38/D38</f>
        <v>#DIV/0!</v>
      </c>
      <c r="G38" s="559" t="e">
        <f t="shared" si="0"/>
        <v>#N/A</v>
      </c>
    </row>
    <row r="39" spans="1:7" s="524" customFormat="1" ht="15.75" customHeight="1">
      <c r="A39" s="560" t="str">
        <f>+Gastos!A27</f>
        <v>211</v>
      </c>
      <c r="B39" s="525" t="s">
        <v>372</v>
      </c>
      <c r="C39" s="564" t="e">
        <f>+'Ley 617'!D71</f>
        <v>#N/A</v>
      </c>
      <c r="D39" s="564">
        <f>+'Ley 617'!E71</f>
        <v>0</v>
      </c>
      <c r="E39" s="565">
        <f>+'Ley 617'!F71</f>
        <v>0</v>
      </c>
      <c r="F39" s="566" t="e">
        <f t="shared" si="2"/>
        <v>#DIV/0!</v>
      </c>
      <c r="G39" s="566" t="e">
        <f t="shared" si="0"/>
        <v>#N/A</v>
      </c>
    </row>
    <row r="40" spans="1:7" s="524" customFormat="1" ht="15.75" customHeight="1">
      <c r="A40" s="560" t="str">
        <f>+Gastos!A42</f>
        <v>212</v>
      </c>
      <c r="B40" s="525" t="s">
        <v>373</v>
      </c>
      <c r="C40" s="564" t="e">
        <f>+'Ley 617'!D72</f>
        <v>#N/A</v>
      </c>
      <c r="D40" s="564">
        <f>+'Ley 617'!E72</f>
        <v>0</v>
      </c>
      <c r="E40" s="565">
        <f>+'Ley 617'!F72</f>
        <v>0</v>
      </c>
      <c r="F40" s="566" t="e">
        <f t="shared" si="2"/>
        <v>#DIV/0!</v>
      </c>
      <c r="G40" s="566" t="e">
        <f t="shared" si="0"/>
        <v>#N/A</v>
      </c>
    </row>
    <row r="41" spans="1:7" s="524" customFormat="1" ht="15.75" customHeight="1">
      <c r="A41" s="560" t="str">
        <f>+Gastos!A47</f>
        <v>21301</v>
      </c>
      <c r="B41" s="525" t="s">
        <v>374</v>
      </c>
      <c r="C41" s="564">
        <f>+'Ley 617'!D73</f>
        <v>159861.52000000002</v>
      </c>
      <c r="D41" s="564">
        <f>+'Ley 617'!E73</f>
        <v>0</v>
      </c>
      <c r="E41" s="565">
        <f>+'Ley 617'!F73</f>
        <v>0</v>
      </c>
      <c r="F41" s="566" t="e">
        <f>+E41/D41</f>
        <v>#DIV/0!</v>
      </c>
      <c r="G41" s="566">
        <f>+E41/C41</f>
        <v>0</v>
      </c>
    </row>
    <row r="42" spans="1:7" s="524" customFormat="1" ht="15.75" customHeight="1">
      <c r="A42" s="560" t="str">
        <f>+Gastos!A71</f>
        <v>217</v>
      </c>
      <c r="B42" s="525" t="s">
        <v>375</v>
      </c>
      <c r="C42" s="564">
        <f>+'Ley 617'!D76</f>
        <v>0</v>
      </c>
      <c r="D42" s="564">
        <f>+'Ley 617'!E76</f>
        <v>0</v>
      </c>
      <c r="E42" s="565">
        <f>IF(Ingresos!D22="NO",Gastos!J72,0)</f>
        <v>0</v>
      </c>
      <c r="F42" s="566" t="e">
        <f t="shared" si="2"/>
        <v>#DIV/0!</v>
      </c>
      <c r="G42" s="566" t="e">
        <f t="shared" si="0"/>
        <v>#DIV/0!</v>
      </c>
    </row>
    <row r="43" spans="1:7" s="524" customFormat="1" ht="15.75" customHeight="1">
      <c r="A43" s="551" t="s">
        <v>376</v>
      </c>
      <c r="B43" s="556" t="s">
        <v>377</v>
      </c>
      <c r="C43" s="557">
        <f>SUM(C44:C46)</f>
        <v>143138</v>
      </c>
      <c r="D43" s="561">
        <f>SUM(D44:D46)</f>
        <v>0</v>
      </c>
      <c r="E43" s="558">
        <f>SUM(E44:E46)</f>
        <v>0</v>
      </c>
      <c r="F43" s="566" t="e">
        <f t="shared" si="2"/>
        <v>#DIV/0!</v>
      </c>
      <c r="G43" s="566">
        <f t="shared" si="0"/>
        <v>0</v>
      </c>
    </row>
    <row r="44" spans="1:7" s="524" customFormat="1" ht="15.75" customHeight="1">
      <c r="A44" s="560" t="str">
        <f>+Gastos!A225</f>
        <v>242</v>
      </c>
      <c r="B44" s="525" t="s">
        <v>378</v>
      </c>
      <c r="C44" s="564">
        <f>+Gastos!D225</f>
        <v>99313</v>
      </c>
      <c r="D44" s="564">
        <f>+Gastos!G225</f>
        <v>0</v>
      </c>
      <c r="E44" s="565">
        <f>+Gastos!J225</f>
        <v>0</v>
      </c>
      <c r="F44" s="566" t="e">
        <f>+E44/D44</f>
        <v>#DIV/0!</v>
      </c>
      <c r="G44" s="566">
        <f t="shared" si="0"/>
        <v>0</v>
      </c>
    </row>
    <row r="45" spans="1:7" s="524" customFormat="1" ht="15.75" customHeight="1">
      <c r="A45" s="560" t="str">
        <f>+Gastos!A226</f>
        <v>243</v>
      </c>
      <c r="B45" s="525" t="s">
        <v>379</v>
      </c>
      <c r="C45" s="564">
        <f>+Gastos!D226</f>
        <v>0</v>
      </c>
      <c r="D45" s="564">
        <f>+Gastos!G226</f>
        <v>0</v>
      </c>
      <c r="E45" s="565">
        <f>+Gastos!J226</f>
        <v>0</v>
      </c>
      <c r="F45" s="566" t="e">
        <f>+E45/D45</f>
        <v>#DIV/0!</v>
      </c>
      <c r="G45" s="566" t="e">
        <f>+E45/C45</f>
        <v>#DIV/0!</v>
      </c>
    </row>
    <row r="46" spans="1:7" s="524" customFormat="1" ht="15.75" customHeight="1">
      <c r="A46" s="560" t="str">
        <f>+Gastos!A227</f>
        <v>244</v>
      </c>
      <c r="B46" s="525" t="s">
        <v>380</v>
      </c>
      <c r="C46" s="564">
        <f>+Gastos!D227</f>
        <v>43825</v>
      </c>
      <c r="D46" s="564">
        <f>+Gastos!G227</f>
        <v>0</v>
      </c>
      <c r="E46" s="565">
        <f>+Gastos!J227</f>
        <v>0</v>
      </c>
      <c r="F46" s="566" t="e">
        <f>+E46/D46</f>
        <v>#DIV/0!</v>
      </c>
      <c r="G46" s="566">
        <f t="shared" si="0"/>
        <v>0</v>
      </c>
    </row>
    <row r="47" spans="1:7" s="524" customFormat="1" ht="15.75" customHeight="1" thickBot="1">
      <c r="A47" s="568" t="s">
        <v>381</v>
      </c>
      <c r="B47" s="569" t="s">
        <v>382</v>
      </c>
      <c r="C47" s="570" t="e">
        <f>+C28-C38-C43</f>
        <v>#REF!</v>
      </c>
      <c r="D47" s="571" t="e">
        <f>+D28-D38-D43</f>
        <v>#REF!</v>
      </c>
      <c r="E47" s="572" t="e">
        <f>+E28-E38-E43</f>
        <v>#REF!</v>
      </c>
      <c r="F47" s="573" t="e">
        <f t="shared" si="2"/>
        <v>#REF!</v>
      </c>
      <c r="G47" s="574" t="e">
        <f t="shared" si="0"/>
        <v>#REF!</v>
      </c>
    </row>
    <row r="48" spans="1:7" s="524" customFormat="1" ht="15.75" customHeight="1">
      <c r="A48" s="575" t="s">
        <v>383</v>
      </c>
      <c r="B48" s="576" t="s">
        <v>384</v>
      </c>
      <c r="C48" s="577"/>
      <c r="D48" s="578"/>
      <c r="E48" s="579"/>
      <c r="F48" s="580"/>
      <c r="G48" s="580"/>
    </row>
    <row r="49" spans="1:7" s="524" customFormat="1" ht="15.75" customHeight="1">
      <c r="A49" s="581" t="s">
        <v>385</v>
      </c>
      <c r="B49" s="582" t="s">
        <v>386</v>
      </c>
      <c r="C49" s="583"/>
      <c r="D49" s="584"/>
      <c r="E49" s="585"/>
      <c r="F49" s="586"/>
      <c r="G49" s="586"/>
    </row>
    <row r="50" spans="1:7" s="524" customFormat="1" ht="15.75" customHeight="1">
      <c r="A50" s="587" t="s">
        <v>387</v>
      </c>
      <c r="B50" s="582" t="s">
        <v>388</v>
      </c>
      <c r="C50" s="588">
        <f>+C51</f>
        <v>426911</v>
      </c>
      <c r="D50" s="589">
        <f>+D51</f>
        <v>426911</v>
      </c>
      <c r="E50" s="558">
        <f>+E51</f>
        <v>0</v>
      </c>
      <c r="F50" s="590">
        <f t="shared" si="2"/>
        <v>0</v>
      </c>
      <c r="G50" s="590">
        <f t="shared" ref="G50:G55" si="3">+E50/C50</f>
        <v>0</v>
      </c>
    </row>
    <row r="51" spans="1:7" s="524" customFormat="1" ht="15.75" customHeight="1">
      <c r="A51" s="591" t="s">
        <v>873</v>
      </c>
      <c r="B51" s="592" t="s">
        <v>389</v>
      </c>
      <c r="C51" s="593">
        <f>+Ingresos!C62</f>
        <v>426911</v>
      </c>
      <c r="D51" s="594">
        <f>+Ingresos!E62</f>
        <v>426911</v>
      </c>
      <c r="E51" s="595">
        <f>+Ingresos!H62</f>
        <v>0</v>
      </c>
      <c r="F51" s="596">
        <f t="shared" si="2"/>
        <v>0</v>
      </c>
      <c r="G51" s="596">
        <f t="shared" si="3"/>
        <v>0</v>
      </c>
    </row>
    <row r="52" spans="1:7" s="524" customFormat="1" ht="15.75" customHeight="1">
      <c r="A52" s="581" t="s">
        <v>390</v>
      </c>
      <c r="B52" s="582" t="s">
        <v>391</v>
      </c>
      <c r="C52" s="588">
        <f>SUM(C53:C54)</f>
        <v>537274.4</v>
      </c>
      <c r="D52" s="589">
        <f>SUM(D53:D54)</f>
        <v>0</v>
      </c>
      <c r="E52" s="558">
        <f>SUM(E53:E54)</f>
        <v>0</v>
      </c>
      <c r="F52" s="590" t="e">
        <f t="shared" si="2"/>
        <v>#DIV/0!</v>
      </c>
      <c r="G52" s="590">
        <f t="shared" si="3"/>
        <v>0</v>
      </c>
    </row>
    <row r="53" spans="1:7" s="524" customFormat="1" ht="15.75" customHeight="1">
      <c r="A53" s="581" t="s">
        <v>392</v>
      </c>
      <c r="B53" s="592" t="s">
        <v>393</v>
      </c>
      <c r="C53" s="594">
        <f>+Gastos!D79+Gastos!D80+Gastos!D81+Gastos!D95+Gastos!D108+Gastos!D132+Gastos!D145+Gastos!D169+Gastos!D182</f>
        <v>0</v>
      </c>
      <c r="D53" s="594">
        <f>+Gastos!G79+Gastos!G80+Gastos!G81+Gastos!G95+Gastos!G108+Gastos!G132+Gastos!G145+Gastos!G169+Gastos!G182</f>
        <v>0</v>
      </c>
      <c r="E53" s="565">
        <f>+Gastos!J79+Gastos!J80+Gastos!J81+Gastos!J95+Gastos!J108+Gastos!J132+Gastos!J145+Gastos!J169+Gastos!J182</f>
        <v>0</v>
      </c>
      <c r="F53" s="596" t="e">
        <f t="shared" si="2"/>
        <v>#DIV/0!</v>
      </c>
      <c r="G53" s="596" t="e">
        <f t="shared" si="3"/>
        <v>#DIV/0!</v>
      </c>
    </row>
    <row r="54" spans="1:7" s="524" customFormat="1" ht="15.75" customHeight="1">
      <c r="A54" s="581" t="s">
        <v>394</v>
      </c>
      <c r="B54" s="592" t="s">
        <v>395</v>
      </c>
      <c r="C54" s="594">
        <f>+Gastos!D77+Gastos!D78+Gastos!D82+Gastos!D116+Gastos!D153+Gastos!D189</f>
        <v>537274.4</v>
      </c>
      <c r="D54" s="594">
        <f>+Gastos!G77+Gastos!G78+Gastos!G82+Gastos!G116+Gastos!G153+Gastos!G189</f>
        <v>0</v>
      </c>
      <c r="E54" s="565">
        <f>+Gastos!J77+Gastos!J78+Gastos!J82+Gastos!J116+Gastos!J153+Gastos!J189</f>
        <v>0</v>
      </c>
      <c r="F54" s="596" t="e">
        <f t="shared" si="2"/>
        <v>#DIV/0!</v>
      </c>
      <c r="G54" s="596">
        <f t="shared" si="3"/>
        <v>0</v>
      </c>
    </row>
    <row r="55" spans="1:7" s="524" customFormat="1" ht="15.75" customHeight="1">
      <c r="A55" s="581" t="s">
        <v>396</v>
      </c>
      <c r="B55" s="592" t="s">
        <v>397</v>
      </c>
      <c r="C55" s="588">
        <f>+C50-C52</f>
        <v>-110363.40000000002</v>
      </c>
      <c r="D55" s="589">
        <f>+D50-D52</f>
        <v>426911</v>
      </c>
      <c r="E55" s="558">
        <f>+E50-E52</f>
        <v>0</v>
      </c>
      <c r="F55" s="590">
        <f t="shared" si="2"/>
        <v>0</v>
      </c>
      <c r="G55" s="590">
        <f t="shared" si="3"/>
        <v>0</v>
      </c>
    </row>
    <row r="56" spans="1:7" s="524" customFormat="1" ht="15.75" customHeight="1">
      <c r="A56" s="581" t="s">
        <v>398</v>
      </c>
      <c r="B56" s="582" t="s">
        <v>399</v>
      </c>
      <c r="C56" s="597"/>
      <c r="D56" s="598"/>
      <c r="E56" s="599"/>
      <c r="F56" s="586"/>
      <c r="G56" s="586"/>
    </row>
    <row r="57" spans="1:7" s="524" customFormat="1" ht="15.75" customHeight="1">
      <c r="A57" s="581" t="s">
        <v>400</v>
      </c>
      <c r="B57" s="582" t="s">
        <v>388</v>
      </c>
      <c r="C57" s="588">
        <f>+C58+C59</f>
        <v>2840910</v>
      </c>
      <c r="D57" s="589">
        <f>+D58+D59</f>
        <v>2840910</v>
      </c>
      <c r="E57" s="558">
        <f>+E58+E59</f>
        <v>0</v>
      </c>
      <c r="F57" s="590">
        <f t="shared" si="2"/>
        <v>0</v>
      </c>
      <c r="G57" s="590">
        <f>+E57/C57</f>
        <v>0</v>
      </c>
    </row>
    <row r="58" spans="1:7" s="524" customFormat="1" ht="15.75" customHeight="1">
      <c r="A58" s="591" t="s">
        <v>879</v>
      </c>
      <c r="B58" s="592" t="s">
        <v>389</v>
      </c>
      <c r="C58" s="593">
        <f>+Ingresos!C65</f>
        <v>2837410</v>
      </c>
      <c r="D58" s="593">
        <f>+Ingresos!E65</f>
        <v>2837410</v>
      </c>
      <c r="E58" s="595">
        <f>+Ingresos!H65</f>
        <v>0</v>
      </c>
      <c r="F58" s="596">
        <f t="shared" si="2"/>
        <v>0</v>
      </c>
      <c r="G58" s="596">
        <f>+E58/C58</f>
        <v>0</v>
      </c>
    </row>
    <row r="59" spans="1:7" s="524" customFormat="1" ht="15.75" customHeight="1">
      <c r="A59" s="581" t="s">
        <v>401</v>
      </c>
      <c r="B59" s="592" t="s">
        <v>402</v>
      </c>
      <c r="C59" s="593">
        <f>+Ingresos!C75+Ingresos!C76+Ingresos!C36</f>
        <v>3500</v>
      </c>
      <c r="D59" s="593">
        <f>+Ingresos!E75+Ingresos!E76+Ingresos!E36</f>
        <v>3500</v>
      </c>
      <c r="E59" s="595">
        <f>+Ingresos!H75+Ingresos!H76+Ingresos!H36</f>
        <v>0</v>
      </c>
      <c r="F59" s="586"/>
      <c r="G59" s="586"/>
    </row>
    <row r="60" spans="1:7" s="524" customFormat="1" ht="15.75" customHeight="1">
      <c r="A60" s="581" t="s">
        <v>403</v>
      </c>
      <c r="B60" s="582" t="s">
        <v>391</v>
      </c>
      <c r="C60" s="588">
        <f>SUM(C61:C62)</f>
        <v>2999706.4</v>
      </c>
      <c r="D60" s="589">
        <f>SUM(D61:D62)</f>
        <v>0</v>
      </c>
      <c r="E60" s="558">
        <f>SUM(E61:E62)</f>
        <v>0</v>
      </c>
      <c r="F60" s="590" t="e">
        <f t="shared" si="2"/>
        <v>#DIV/0!</v>
      </c>
      <c r="G60" s="590">
        <f>+E60/C60</f>
        <v>0</v>
      </c>
    </row>
    <row r="61" spans="1:7" s="524" customFormat="1" ht="15.75" customHeight="1">
      <c r="A61" s="581" t="s">
        <v>404</v>
      </c>
      <c r="B61" s="592" t="s">
        <v>393</v>
      </c>
      <c r="C61" s="594">
        <f>+Gastos!D86+Gastos!D87+Gastos!D88+Gastos!D97+Gastos!D109+Gastos!D134+Gastos!D146+Gastos!D171+Gastos!D183</f>
        <v>2971706.4</v>
      </c>
      <c r="D61" s="594">
        <f>+Gastos!G86+Gastos!G87+Gastos!G88+Gastos!G97+Gastos!G109+Gastos!G134+Gastos!G146+Gastos!G171+Gastos!G183</f>
        <v>0</v>
      </c>
      <c r="E61" s="565">
        <f>+Gastos!J86+Gastos!J87+Gastos!J88+Gastos!J97+Gastos!J109+Gastos!J134+Gastos!J146+Gastos!J171+Gastos!J183</f>
        <v>0</v>
      </c>
      <c r="F61" s="596" t="e">
        <f t="shared" si="2"/>
        <v>#DIV/0!</v>
      </c>
      <c r="G61" s="596">
        <f>+E61/C61</f>
        <v>0</v>
      </c>
    </row>
    <row r="62" spans="1:7" s="524" customFormat="1" ht="15.75" customHeight="1">
      <c r="A62" s="581" t="s">
        <v>405</v>
      </c>
      <c r="B62" s="592" t="s">
        <v>395</v>
      </c>
      <c r="C62" s="594">
        <f>+Gastos!D84+Gastos!D85+Gastos!D89+Gastos!D118+Gastos!D155+Gastos!D191</f>
        <v>28000</v>
      </c>
      <c r="D62" s="594">
        <f>+Gastos!G84+Gastos!G85+Gastos!G89+Gastos!G118+Gastos!G155+Gastos!G191</f>
        <v>0</v>
      </c>
      <c r="E62" s="565">
        <f>+Gastos!J84+Gastos!J85+Gastos!J89+Gastos!J118+Gastos!J155+Gastos!J191</f>
        <v>0</v>
      </c>
      <c r="F62" s="596" t="e">
        <f t="shared" si="2"/>
        <v>#DIV/0!</v>
      </c>
      <c r="G62" s="596">
        <f>+E62/C62</f>
        <v>0</v>
      </c>
    </row>
    <row r="63" spans="1:7" s="524" customFormat="1" ht="15.75" customHeight="1">
      <c r="A63" s="581" t="s">
        <v>406</v>
      </c>
      <c r="B63" s="592" t="s">
        <v>397</v>
      </c>
      <c r="C63" s="588">
        <f>+C57-C60</f>
        <v>-158796.39999999991</v>
      </c>
      <c r="D63" s="589">
        <f>+D57-D60</f>
        <v>2840910</v>
      </c>
      <c r="E63" s="558">
        <f>+E57-E60</f>
        <v>0</v>
      </c>
      <c r="F63" s="590">
        <f t="shared" si="2"/>
        <v>0</v>
      </c>
      <c r="G63" s="590">
        <f>+E63/C63</f>
        <v>0</v>
      </c>
    </row>
    <row r="64" spans="1:7" s="524" customFormat="1" ht="15.75" customHeight="1">
      <c r="A64" s="581" t="s">
        <v>407</v>
      </c>
      <c r="B64" s="582" t="s">
        <v>408</v>
      </c>
      <c r="C64" s="583"/>
      <c r="D64" s="584"/>
      <c r="E64" s="585"/>
      <c r="F64" s="586"/>
      <c r="G64" s="586"/>
    </row>
    <row r="65" spans="1:7" s="524" customFormat="1" ht="15.75" customHeight="1">
      <c r="A65" s="581" t="s">
        <v>409</v>
      </c>
      <c r="B65" s="582" t="s">
        <v>388</v>
      </c>
      <c r="C65" s="588">
        <f>+C66</f>
        <v>682007.94</v>
      </c>
      <c r="D65" s="589">
        <f>+D66</f>
        <v>682007.94</v>
      </c>
      <c r="E65" s="558">
        <f>+E66</f>
        <v>0</v>
      </c>
      <c r="F65" s="590">
        <f t="shared" si="2"/>
        <v>0</v>
      </c>
      <c r="G65" s="590">
        <f t="shared" ref="G65:G70" si="4">+E65/C65</f>
        <v>0</v>
      </c>
    </row>
    <row r="66" spans="1:7" s="524" customFormat="1" ht="15.75" customHeight="1">
      <c r="A66" s="591" t="s">
        <v>891</v>
      </c>
      <c r="B66" s="592" t="s">
        <v>389</v>
      </c>
      <c r="C66" s="841">
        <f>+Ingresos!C71*0.41</f>
        <v>682007.94</v>
      </c>
      <c r="D66" s="841">
        <f>+Ingresos!E71*0.41</f>
        <v>682007.94</v>
      </c>
      <c r="E66" s="847">
        <f>Ingresos!H71*0.41</f>
        <v>0</v>
      </c>
      <c r="F66" s="596">
        <f t="shared" si="2"/>
        <v>0</v>
      </c>
      <c r="G66" s="596">
        <f t="shared" si="4"/>
        <v>0</v>
      </c>
    </row>
    <row r="67" spans="1:7" s="524" customFormat="1" ht="15.75" customHeight="1">
      <c r="A67" s="581" t="s">
        <v>410</v>
      </c>
      <c r="B67" s="582" t="s">
        <v>391</v>
      </c>
      <c r="C67" s="588">
        <f>SUM(C68:C69)</f>
        <v>781984</v>
      </c>
      <c r="D67" s="589">
        <f>SUM(D68:D69)</f>
        <v>0</v>
      </c>
      <c r="E67" s="558">
        <f>SUM(E68:E69)</f>
        <v>0</v>
      </c>
      <c r="F67" s="590" t="e">
        <f t="shared" si="2"/>
        <v>#DIV/0!</v>
      </c>
      <c r="G67" s="590">
        <f t="shared" si="4"/>
        <v>0</v>
      </c>
    </row>
    <row r="68" spans="1:7" s="524" customFormat="1" ht="15.75" customHeight="1">
      <c r="A68" s="581" t="s">
        <v>411</v>
      </c>
      <c r="B68" s="592" t="s">
        <v>393</v>
      </c>
      <c r="C68" s="594">
        <f>+Gastos!D92+Gastos!D106+Gastos!D129+Gastos!D143+Gastos!D166+Gastos!D180</f>
        <v>0</v>
      </c>
      <c r="D68" s="594">
        <f>+Gastos!G92+Gastos!G106+Gastos!G129+Gastos!G143+Gastos!G166+Gastos!G180</f>
        <v>0</v>
      </c>
      <c r="E68" s="565">
        <f>+Gastos!J92+Gastos!J106+Gastos!J129+Gastos!J143+Gastos!J166+Gastos!J180</f>
        <v>0</v>
      </c>
      <c r="F68" s="596" t="e">
        <f t="shared" si="2"/>
        <v>#DIV/0!</v>
      </c>
      <c r="G68" s="596" t="e">
        <f t="shared" si="4"/>
        <v>#DIV/0!</v>
      </c>
    </row>
    <row r="69" spans="1:7" s="524" customFormat="1" ht="15.75" customHeight="1">
      <c r="A69" s="581" t="s">
        <v>412</v>
      </c>
      <c r="B69" s="592" t="s">
        <v>395</v>
      </c>
      <c r="C69" s="594">
        <f>+Gastos!D113+Gastos!D150+Gastos!D186</f>
        <v>781984</v>
      </c>
      <c r="D69" s="594">
        <f>+Gastos!G113+Gastos!G150+Gastos!G186</f>
        <v>0</v>
      </c>
      <c r="E69" s="565">
        <f>+Gastos!J113+Gastos!J150+Gastos!J186</f>
        <v>0</v>
      </c>
      <c r="F69" s="596" t="e">
        <f t="shared" si="2"/>
        <v>#DIV/0!</v>
      </c>
      <c r="G69" s="596">
        <f t="shared" si="4"/>
        <v>0</v>
      </c>
    </row>
    <row r="70" spans="1:7" s="524" customFormat="1" ht="15.75" customHeight="1">
      <c r="A70" s="581" t="s">
        <v>413</v>
      </c>
      <c r="B70" s="592" t="s">
        <v>397</v>
      </c>
      <c r="C70" s="588">
        <f>+C65-C67</f>
        <v>-99976.060000000056</v>
      </c>
      <c r="D70" s="589">
        <f>+D65-D67</f>
        <v>682007.94</v>
      </c>
      <c r="E70" s="558">
        <f>+E65-E67</f>
        <v>0</v>
      </c>
      <c r="F70" s="590">
        <f t="shared" si="2"/>
        <v>0</v>
      </c>
      <c r="G70" s="590">
        <f t="shared" si="4"/>
        <v>0</v>
      </c>
    </row>
    <row r="71" spans="1:7" s="524" customFormat="1" ht="15.75" customHeight="1">
      <c r="A71" s="581" t="s">
        <v>414</v>
      </c>
      <c r="B71" s="582" t="s">
        <v>415</v>
      </c>
      <c r="C71" s="583"/>
      <c r="D71" s="584"/>
      <c r="E71" s="585"/>
      <c r="F71" s="586"/>
      <c r="G71" s="586"/>
    </row>
    <row r="72" spans="1:7" s="524" customFormat="1" ht="15.75" customHeight="1">
      <c r="A72" s="581" t="s">
        <v>416</v>
      </c>
      <c r="B72" s="582" t="s">
        <v>388</v>
      </c>
      <c r="C72" s="588">
        <f>+C73</f>
        <v>116440.38</v>
      </c>
      <c r="D72" s="589">
        <f>+D73</f>
        <v>116440.38</v>
      </c>
      <c r="E72" s="558">
        <f>+E73</f>
        <v>0</v>
      </c>
      <c r="F72" s="590">
        <f t="shared" si="2"/>
        <v>0</v>
      </c>
      <c r="G72" s="590">
        <f t="shared" ref="G72:G77" si="5">+E72/C72</f>
        <v>0</v>
      </c>
    </row>
    <row r="73" spans="1:7" s="524" customFormat="1" ht="15.75" customHeight="1">
      <c r="A73" s="591" t="s">
        <v>891</v>
      </c>
      <c r="B73" s="592" t="s">
        <v>389</v>
      </c>
      <c r="C73" s="840">
        <f>IF(Ingresos!B10&lt;=2003,Ingresos!C71*0.1,Ingresos!C71*0.07)</f>
        <v>116440.38</v>
      </c>
      <c r="D73" s="841">
        <f>IF(Ingresos!B10&lt;=2003,Ingresos!E71*0.1,Ingresos!E71*0.07)</f>
        <v>116440.38</v>
      </c>
      <c r="E73" s="843">
        <f>IF(Ingresos!B10&lt;=2003,Ingresos!H71*0.1,Ingresos!H71*0.07)</f>
        <v>0</v>
      </c>
      <c r="F73" s="596">
        <f t="shared" si="2"/>
        <v>0</v>
      </c>
      <c r="G73" s="596">
        <f t="shared" si="5"/>
        <v>0</v>
      </c>
    </row>
    <row r="74" spans="1:7" s="524" customFormat="1" ht="15.75" customHeight="1">
      <c r="A74" s="581" t="s">
        <v>417</v>
      </c>
      <c r="B74" s="582" t="s">
        <v>391</v>
      </c>
      <c r="C74" s="588">
        <f>SUM(C75:C76)</f>
        <v>201996.08000000002</v>
      </c>
      <c r="D74" s="589">
        <f>SUM(D75:D76)</f>
        <v>0</v>
      </c>
      <c r="E74" s="558">
        <f>SUM(E75:E76)</f>
        <v>0</v>
      </c>
      <c r="F74" s="590" t="e">
        <f t="shared" si="2"/>
        <v>#DIV/0!</v>
      </c>
      <c r="G74" s="590">
        <f t="shared" si="5"/>
        <v>0</v>
      </c>
    </row>
    <row r="75" spans="1:7" s="524" customFormat="1" ht="15.75" customHeight="1">
      <c r="A75" s="581" t="s">
        <v>418</v>
      </c>
      <c r="B75" s="592" t="s">
        <v>393</v>
      </c>
      <c r="C75" s="594">
        <f>+Gastos!D96+Gastos!D98+Gastos!D133+Gastos!D135+Gastos!D170+Gastos!D172</f>
        <v>0</v>
      </c>
      <c r="D75" s="594">
        <f>+Gastos!G96+Gastos!G98+Gastos!G133+Gastos!G135+Gastos!G170+Gastos!G172</f>
        <v>0</v>
      </c>
      <c r="E75" s="565">
        <f>+Gastos!J96+Gastos!J98+Gastos!J133+Gastos!J135+Gastos!J170+Gastos!J172</f>
        <v>0</v>
      </c>
      <c r="F75" s="596" t="e">
        <f t="shared" si="2"/>
        <v>#DIV/0!</v>
      </c>
      <c r="G75" s="596" t="e">
        <f t="shared" si="5"/>
        <v>#DIV/0!</v>
      </c>
    </row>
    <row r="76" spans="1:7" s="524" customFormat="1" ht="15.75" customHeight="1">
      <c r="A76" s="581" t="s">
        <v>419</v>
      </c>
      <c r="B76" s="592" t="s">
        <v>395</v>
      </c>
      <c r="C76" s="594">
        <f>+Gastos!D117+Gastos!D119+Gastos!D154+Gastos!D156+Gastos!D190+Gastos!D192</f>
        <v>201996.08000000002</v>
      </c>
      <c r="D76" s="594">
        <f>+Gastos!G117+Gastos!G119+Gastos!G154+Gastos!G156+Gastos!G190+Gastos!G192</f>
        <v>0</v>
      </c>
      <c r="E76" s="565">
        <f>+Gastos!J117+Gastos!J119+Gastos!J154+Gastos!J156+Gastos!J190+Gastos!J192</f>
        <v>0</v>
      </c>
      <c r="F76" s="596" t="e">
        <f t="shared" si="2"/>
        <v>#DIV/0!</v>
      </c>
      <c r="G76" s="596">
        <f t="shared" si="5"/>
        <v>0</v>
      </c>
    </row>
    <row r="77" spans="1:7" s="524" customFormat="1" ht="15.75" customHeight="1">
      <c r="A77" s="581" t="s">
        <v>420</v>
      </c>
      <c r="B77" s="592" t="s">
        <v>397</v>
      </c>
      <c r="C77" s="588">
        <f>+C72-C74</f>
        <v>-85555.700000000012</v>
      </c>
      <c r="D77" s="589">
        <f>+D72-D74</f>
        <v>116440.38</v>
      </c>
      <c r="E77" s="558">
        <f>+E72-E74</f>
        <v>0</v>
      </c>
      <c r="F77" s="590">
        <f t="shared" si="2"/>
        <v>0</v>
      </c>
      <c r="G77" s="590">
        <f t="shared" si="5"/>
        <v>0</v>
      </c>
    </row>
    <row r="78" spans="1:7" s="524" customFormat="1" ht="15.75" customHeight="1">
      <c r="A78" s="581" t="s">
        <v>421</v>
      </c>
      <c r="B78" s="600" t="s">
        <v>422</v>
      </c>
      <c r="C78" s="601"/>
      <c r="D78" s="602"/>
      <c r="E78" s="603"/>
      <c r="F78" s="604"/>
      <c r="G78" s="604"/>
    </row>
    <row r="79" spans="1:7" s="524" customFormat="1" ht="15.75" customHeight="1">
      <c r="A79" s="581" t="s">
        <v>423</v>
      </c>
      <c r="B79" s="582" t="s">
        <v>388</v>
      </c>
      <c r="C79" s="605" t="e">
        <f>+C80+C87+C91+C92</f>
        <v>#REF!</v>
      </c>
      <c r="D79" s="605" t="e">
        <f>+D80+D87+D91+D92</f>
        <v>#REF!</v>
      </c>
      <c r="E79" s="606" t="e">
        <f>+E80+E87+E91+E92</f>
        <v>#REF!</v>
      </c>
      <c r="F79" s="590" t="e">
        <f t="shared" ref="F79:F86" si="6">+E79/D79</f>
        <v>#REF!</v>
      </c>
      <c r="G79" s="590" t="e">
        <f t="shared" ref="G79:G86" si="7">+E79/C79</f>
        <v>#REF!</v>
      </c>
    </row>
    <row r="80" spans="1:7" s="524" customFormat="1" ht="15.75" customHeight="1">
      <c r="A80" s="581" t="s">
        <v>424</v>
      </c>
      <c r="B80" s="600" t="s">
        <v>425</v>
      </c>
      <c r="C80" s="605" t="e">
        <f>SUM(C81:C86)</f>
        <v>#REF!</v>
      </c>
      <c r="D80" s="605" t="e">
        <f>SUM(D81:D86)</f>
        <v>#REF!</v>
      </c>
      <c r="E80" s="606" t="e">
        <f>SUM(E81:E86)</f>
        <v>#REF!</v>
      </c>
      <c r="F80" s="590" t="e">
        <f t="shared" si="6"/>
        <v>#REF!</v>
      </c>
      <c r="G80" s="590" t="e">
        <f t="shared" si="7"/>
        <v>#REF!</v>
      </c>
    </row>
    <row r="81" spans="1:7" s="524" customFormat="1" ht="15.75" customHeight="1">
      <c r="A81" s="607" t="s">
        <v>814</v>
      </c>
      <c r="B81" s="608" t="s">
        <v>426</v>
      </c>
      <c r="C81" s="609">
        <f>+Ingresos!C30-'Ley 617'!D11</f>
        <v>0</v>
      </c>
      <c r="D81" s="609">
        <f>+Ingresos!E30-'Ley 617'!E11</f>
        <v>0</v>
      </c>
      <c r="E81" s="610">
        <f>+Ingresos!H30-'Ley 617'!F11</f>
        <v>0</v>
      </c>
      <c r="F81" s="596" t="e">
        <f t="shared" si="6"/>
        <v>#DIV/0!</v>
      </c>
      <c r="G81" s="596" t="e">
        <f t="shared" si="7"/>
        <v>#DIV/0!</v>
      </c>
    </row>
    <row r="82" spans="1:7" s="524" customFormat="1" ht="15.75" customHeight="1">
      <c r="A82" s="607" t="s">
        <v>361</v>
      </c>
      <c r="B82" s="608" t="s">
        <v>427</v>
      </c>
      <c r="C82" s="609">
        <f>+Ingresos!C32-'Ley 617'!D12</f>
        <v>0</v>
      </c>
      <c r="D82" s="609">
        <f>+Ingresos!E32-'Ley 617'!E12</f>
        <v>0</v>
      </c>
      <c r="E82" s="610">
        <f>+Ingresos!H32-'Ley 617'!F12</f>
        <v>0</v>
      </c>
      <c r="F82" s="596" t="e">
        <f t="shared" si="6"/>
        <v>#DIV/0!</v>
      </c>
      <c r="G82" s="596" t="e">
        <f t="shared" si="7"/>
        <v>#DIV/0!</v>
      </c>
    </row>
    <row r="83" spans="1:7" s="524" customFormat="1" ht="15.75" customHeight="1">
      <c r="A83" s="607" t="s">
        <v>820</v>
      </c>
      <c r="B83" s="608" t="s">
        <v>428</v>
      </c>
      <c r="C83" s="609">
        <f>+Ingresos!C33-'Ley 617'!D13</f>
        <v>0</v>
      </c>
      <c r="D83" s="609">
        <f>+Ingresos!E33-'Ley 617'!E13</f>
        <v>0</v>
      </c>
      <c r="E83" s="610">
        <f>+Ingresos!H33-'Ley 617'!F13</f>
        <v>0</v>
      </c>
      <c r="F83" s="596" t="e">
        <f t="shared" si="6"/>
        <v>#DIV/0!</v>
      </c>
      <c r="G83" s="596" t="e">
        <f t="shared" si="7"/>
        <v>#DIV/0!</v>
      </c>
    </row>
    <row r="84" spans="1:7" s="524" customFormat="1" ht="15.75" customHeight="1">
      <c r="A84" s="611" t="s">
        <v>822</v>
      </c>
      <c r="B84" s="608" t="s">
        <v>429</v>
      </c>
      <c r="C84" s="920">
        <f>(+Ingresos!C34-'Ley 617'!D14)*(1-(VLOOKUP($A$84,'Ingresos Proyecciones'!$A$148:$P$166,LOOKUP($C$25,'Ingresos Proyecciones'!$C$9:$P$9,'Ingresos Proyecciones'!$C$178:$P$178),FALSE)))</f>
        <v>0</v>
      </c>
      <c r="D84" s="920">
        <f>(+Ingresos!E34-'Ley 617'!E14)*(1-(VLOOKUP($A$84,'Ingresos Proyecciones'!$A$148:$P$166,LOOKUP($C$25,'Ingresos Proyecciones'!$C$9:$P$9,'Ingresos Proyecciones'!$C$178:$P$178),FALSE)))</f>
        <v>0</v>
      </c>
      <c r="E84" s="920">
        <f>(+Ingresos!H34-'Ley 617'!F14)*(1-(VLOOKUP($A$84,'Ingresos Proyecciones'!$A$148:$P$166,LOOKUP($C$25,'Ingresos Proyecciones'!$C$9:$P$9,'Ingresos Proyecciones'!$C$178:$P$178),FALSE)))</f>
        <v>0</v>
      </c>
      <c r="F84" s="596" t="e">
        <f t="shared" si="6"/>
        <v>#DIV/0!</v>
      </c>
      <c r="G84" s="596" t="e">
        <f t="shared" si="7"/>
        <v>#DIV/0!</v>
      </c>
    </row>
    <row r="85" spans="1:7" s="524" customFormat="1" ht="15.75" customHeight="1">
      <c r="A85" s="611" t="s">
        <v>833</v>
      </c>
      <c r="B85" s="608" t="s">
        <v>430</v>
      </c>
      <c r="C85" s="920" t="e">
        <f>(+Ingresos!C41-'Ley 617'!#REF!)*(1-(VLOOKUP($A$85,'Ingresos Proyecciones'!$A$148:$P$166,LOOKUP($C$25,'Ingresos Proyecciones'!$C$9:$P$9,'Ingresos Proyecciones'!$C$178:$P$178),FALSE)))</f>
        <v>#REF!</v>
      </c>
      <c r="D85" s="920" t="e">
        <f>(+Ingresos!E41-'Ley 617'!#REF!)*(1-(VLOOKUP($A$85,'Ingresos Proyecciones'!$A$148:$P$166,LOOKUP($C$25,'Ingresos Proyecciones'!$C$9:$P$9,'Ingresos Proyecciones'!$C$178:$P$178),FALSE)))</f>
        <v>#REF!</v>
      </c>
      <c r="E85" s="920" t="e">
        <f>(+Ingresos!H41-'Ley 617'!#REF!)*(1-(VLOOKUP($A$85,'Ingresos Proyecciones'!$A$148:$P$166,LOOKUP($C$25,'Ingresos Proyecciones'!$C$9:$P$9,'Ingresos Proyecciones'!$C$178:$P$178),FALSE)))</f>
        <v>#REF!</v>
      </c>
      <c r="F85" s="596" t="e">
        <f>+E85/D85</f>
        <v>#REF!</v>
      </c>
      <c r="G85" s="596" t="e">
        <f>+E85/C85</f>
        <v>#REF!</v>
      </c>
    </row>
    <row r="86" spans="1:7" s="524" customFormat="1" ht="15.75" customHeight="1">
      <c r="A86" s="581" t="s">
        <v>431</v>
      </c>
      <c r="B86" s="608" t="s">
        <v>432</v>
      </c>
      <c r="C86" s="609" t="e">
        <f>+(Ingresos!C29-Ingresos!C30-Ingresos!C32-Ingresos!C33-Ingresos!C34-Ingresos!C36-Ingresos!C41)-('Ley 617'!D10-'Ley 617'!D11-'Ley 617'!D12-'Ley 617'!D13-'Ley 617'!D14-'Ley 617'!D16-'Ley 617'!#REF!)</f>
        <v>#REF!</v>
      </c>
      <c r="D86" s="609" t="e">
        <f>+(Ingresos!E29-Ingresos!E30-Ingresos!E32-Ingresos!E33-Ingresos!E34-Ingresos!E36-Ingresos!E41)-('Ley 617'!E10-'Ley 617'!E11-'Ley 617'!E12-'Ley 617'!E13-'Ley 617'!E14-'Ley 617'!E16-'Ley 617'!#REF!)</f>
        <v>#REF!</v>
      </c>
      <c r="E86" s="610" t="e">
        <f>+(Ingresos!H29-Ingresos!H30-Ingresos!H32-Ingresos!H33-Ingresos!H34-Ingresos!H36-Ingresos!H41)-('Ley 617'!F10-'Ley 617'!F11-'Ley 617'!F12-'Ley 617'!F13-'Ley 617'!F14-'Ley 617'!F16-'Ley 617'!#REF!)</f>
        <v>#REF!</v>
      </c>
      <c r="F86" s="596" t="e">
        <f t="shared" si="6"/>
        <v>#REF!</v>
      </c>
      <c r="G86" s="596" t="e">
        <f t="shared" si="7"/>
        <v>#REF!</v>
      </c>
    </row>
    <row r="87" spans="1:7" s="524" customFormat="1" ht="15.75" customHeight="1">
      <c r="A87" s="581" t="s">
        <v>433</v>
      </c>
      <c r="B87" s="582" t="s">
        <v>434</v>
      </c>
      <c r="C87" s="605" t="e">
        <f>+C88+C89+C90</f>
        <v>#REF!</v>
      </c>
      <c r="D87" s="605" t="e">
        <f>+D88+D89+D90</f>
        <v>#REF!</v>
      </c>
      <c r="E87" s="606" t="e">
        <f>+E88+E89+E90</f>
        <v>#REF!</v>
      </c>
      <c r="F87" s="590" t="e">
        <f t="shared" ref="F87:F103" si="8">+E87/D87</f>
        <v>#REF!</v>
      </c>
      <c r="G87" s="590" t="e">
        <f>+E87/C88</f>
        <v>#REF!</v>
      </c>
    </row>
    <row r="88" spans="1:7" s="524" customFormat="1" ht="15.75" customHeight="1">
      <c r="A88" s="591" t="s">
        <v>891</v>
      </c>
      <c r="B88" s="592" t="s">
        <v>435</v>
      </c>
      <c r="C88" s="947">
        <f>IF(Ingresos!B10&lt;=2003,(Ingresos!C71*0.49*(1-(VLOOKUP($A$88,'Ingresos Proyecciones'!$A$148:$P$166,LOOKUP($C$25,'Ingresos Proyecciones'!$C$9:$P$9,'Ingresos Proyecciones'!$C$178:$P$178),FALSE)))),(Ingresos!C71*0.42*(1-(VLOOKUP($A$88,'Ingresos Proyecciones'!$A$148:$P$166,LOOKUP($C$25,'Ingresos Proyecciones'!$C$9:$P$9,'Ingresos Proyecciones'!$C$178:$P$178),FALSE)))))</f>
        <v>698642.28</v>
      </c>
      <c r="D88" s="947">
        <f>IF(Ingresos!B10&lt;=2003,(Ingresos!E71*0.49*(1-(VLOOKUP($A$88,'Ingresos Proyecciones'!$A$148:$P$166,LOOKUP($C$25,'Ingresos Proyecciones'!$C$9:$P$9,'Ingresos Proyecciones'!$C$178:$P$178),FALSE)))),(Ingresos!E71*0.42*(1-(VLOOKUP($A$88,'Ingresos Proyecciones'!$A$148:$P$166,LOOKUP($C$25,'Ingresos Proyecciones'!$C$9:$P$9,'Ingresos Proyecciones'!$C$178:$P$178),FALSE)))))</f>
        <v>698642.28</v>
      </c>
      <c r="E88" s="922">
        <f>IF(Ingresos!B10&lt;=2003,(Ingresos!H71*0.49*(1-(VLOOKUP($A$88,'Ingresos Proyecciones'!$A$148:$P$166,LOOKUP($C$25,'Ingresos Proyecciones'!$C$9:$P$9,'Ingresos Proyecciones'!$C$178:$P$178),FALSE)))),(Ingresos!H71*0.42*(1-(VLOOKUP($A$88,'Ingresos Proyecciones'!$A$148:$P$166,LOOKUP($C$25,'Ingresos Proyecciones'!$C$9:$P$9,'Ingresos Proyecciones'!$C$178:$P$178),FALSE)))))</f>
        <v>0</v>
      </c>
      <c r="F88" s="596">
        <f t="shared" si="8"/>
        <v>0</v>
      </c>
      <c r="G88" s="596">
        <f>+E88/C88</f>
        <v>0</v>
      </c>
    </row>
    <row r="89" spans="1:7" s="524" customFormat="1" ht="15.75" customHeight="1">
      <c r="A89" s="612" t="s">
        <v>895</v>
      </c>
      <c r="B89" s="592" t="s">
        <v>436</v>
      </c>
      <c r="C89" s="920">
        <f>+(Ingresos!C73-'Ley 617'!D43)*(1-(VLOOKUP($A$89,'Ingresos Proyecciones'!$A$148:$P$166,LOOKUP($C$25,'Ingresos Proyecciones'!$C$9:$P$9,'Ingresos Proyecciones'!$C$178:$P$178),FALSE)))</f>
        <v>0</v>
      </c>
      <c r="D89" s="920">
        <f>+(Ingresos!E73-'Ley 617'!E43)*(1-(VLOOKUP($A$89,'Ingresos Proyecciones'!$A$148:$P$166,LOOKUP($C$25,'Ingresos Proyecciones'!$C$9:$P$9,'Ingresos Proyecciones'!$C$178:$P$178),FALSE)))</f>
        <v>0</v>
      </c>
      <c r="E89" s="920">
        <f>+(Ingresos!H73-'Ley 617'!F43)*(1-(VLOOKUP($A$89,'Ingresos Proyecciones'!$A$148:$P$166,LOOKUP($C$25,'Ingresos Proyecciones'!$C$9:$P$9,'Ingresos Proyecciones'!$C$178:$P$178),FALSE)))</f>
        <v>0</v>
      </c>
      <c r="F89" s="596" t="e">
        <f t="shared" si="8"/>
        <v>#DIV/0!</v>
      </c>
      <c r="G89" s="596" t="e">
        <f>+E89/C89</f>
        <v>#DIV/0!</v>
      </c>
    </row>
    <row r="90" spans="1:7" s="524" customFormat="1" ht="15.75" customHeight="1">
      <c r="A90" s="581" t="s">
        <v>437</v>
      </c>
      <c r="B90" s="582" t="s">
        <v>438</v>
      </c>
      <c r="C90" s="605" t="e">
        <f>+(Ingresos!C50-'Ley 617'!D25)-Ingresos!C62-Ingresos!C65-Ingresos!C71-(Ingresos!C73-'Ley 617'!D43)-Ingresos!C75-Ingresos!C76</f>
        <v>#REF!</v>
      </c>
      <c r="D90" s="605" t="e">
        <f>+(Ingresos!E50-'Ley 617'!E25)-Ingresos!E62-Ingresos!E65-Ingresos!E71-(Ingresos!E73-'Ley 617'!E43)-Ingresos!E75-Ingresos!E76</f>
        <v>#REF!</v>
      </c>
      <c r="E90" s="606" t="e">
        <f>+(Ingresos!H50-'Ley 617'!F25)-Ingresos!H62-Ingresos!H65-Ingresos!H71-(Ingresos!H73-'Ley 617'!F43)-Ingresos!H75-Ingresos!H76</f>
        <v>#REF!</v>
      </c>
      <c r="F90" s="590" t="e">
        <f>+E90/D90</f>
        <v>#REF!</v>
      </c>
      <c r="G90" s="590" t="e">
        <f>+E90/C91</f>
        <v>#REF!</v>
      </c>
    </row>
    <row r="91" spans="1:7" s="524" customFormat="1" ht="15.75" customHeight="1">
      <c r="A91" s="581" t="s">
        <v>439</v>
      </c>
      <c r="B91" s="849" t="s">
        <v>440</v>
      </c>
      <c r="C91" s="844">
        <f>+Ingresos!C121*0.15+(Ingresos!C71-'Fuentes y Usos Seguimiento'!C66-'Fuentes y Usos Seguimiento'!C73-'Fuentes y Usos Seguimiento'!C88-'Fuentes y Usos Seguimiento'!C123)</f>
        <v>166493.40000000002</v>
      </c>
      <c r="D91" s="844">
        <f>+Ingresos!E121*0.15+(Ingresos!E71-'Fuentes y Usos Seguimiento'!D66-'Fuentes y Usos Seguimiento'!D73-'Fuentes y Usos Seguimiento'!D88-'Fuentes y Usos Seguimiento'!D123)</f>
        <v>166493.40000000002</v>
      </c>
      <c r="E91" s="845">
        <f>+Ingresos!H121*0.15+(Ingresos!H71-'Fuentes y Usos Seguimiento'!E66-'Fuentes y Usos Seguimiento'!E73-'Fuentes y Usos Seguimiento'!E88-'Fuentes y Usos Seguimiento'!E123)</f>
        <v>0</v>
      </c>
      <c r="F91" s="590">
        <f>+E91/D91</f>
        <v>0</v>
      </c>
      <c r="G91" s="590" t="e">
        <f>+E91/C92</f>
        <v>#N/A</v>
      </c>
    </row>
    <row r="92" spans="1:7" s="524" customFormat="1" ht="15.75" customHeight="1">
      <c r="A92" s="581" t="s">
        <v>441</v>
      </c>
      <c r="B92" s="582" t="s">
        <v>442</v>
      </c>
      <c r="C92" s="605" t="e">
        <f>SUM(C93:C103)</f>
        <v>#N/A</v>
      </c>
      <c r="D92" s="605" t="e">
        <f>SUM(D93:D103)</f>
        <v>#N/A</v>
      </c>
      <c r="E92" s="606">
        <f>SUM(E93:E103)</f>
        <v>0</v>
      </c>
      <c r="F92" s="590" t="e">
        <f t="shared" si="8"/>
        <v>#N/A</v>
      </c>
      <c r="G92" s="590" t="e">
        <f t="shared" ref="G92:G103" si="9">+E92/C92</f>
        <v>#N/A</v>
      </c>
    </row>
    <row r="93" spans="1:7" s="524" customFormat="1" ht="15.75" customHeight="1">
      <c r="A93" s="591" t="s">
        <v>956</v>
      </c>
      <c r="B93" s="592" t="s">
        <v>443</v>
      </c>
      <c r="C93" s="609">
        <f>+Ingresos!C88</f>
        <v>26000</v>
      </c>
      <c r="D93" s="609">
        <f>+Ingresos!E88</f>
        <v>26000</v>
      </c>
      <c r="E93" s="610">
        <f>+Ingresos!H88</f>
        <v>0</v>
      </c>
      <c r="F93" s="596">
        <f t="shared" si="8"/>
        <v>0</v>
      </c>
      <c r="G93" s="596">
        <f t="shared" si="9"/>
        <v>0</v>
      </c>
    </row>
    <row r="94" spans="1:7" s="524" customFormat="1" ht="15.75" customHeight="1">
      <c r="A94" s="611" t="s">
        <v>444</v>
      </c>
      <c r="B94" s="592" t="s">
        <v>445</v>
      </c>
      <c r="C94" s="920">
        <f>(+Ingresos!C129)*(1-(VLOOKUP($A$94,'Ingresos Proyecciones'!$A$148:$P$166,LOOKUP($C$25,'Ingresos Proyecciones'!$C$9:$P$9,'Ingresos Proyecciones'!$C$178:$P$178),FALSE)))</f>
        <v>0</v>
      </c>
      <c r="D94" s="920">
        <f>(+Ingresos!E129)*(1-(VLOOKUP($A$94,'Ingresos Proyecciones'!$A$148:$P$166,LOOKUP($C$25,'Ingresos Proyecciones'!$C$9:$P$9,'Ingresos Proyecciones'!$C$178:$P$178),FALSE)))</f>
        <v>0</v>
      </c>
      <c r="E94" s="920">
        <f>(+Ingresos!H129)*(1-(VLOOKUP($A$94,'Ingresos Proyecciones'!$A$148:$P$166,LOOKUP($C$25,'Ingresos Proyecciones'!$C$9:$P$9,'Ingresos Proyecciones'!$C$178:$P$178),FALSE)))</f>
        <v>0</v>
      </c>
      <c r="F94" s="596" t="e">
        <f t="shared" si="8"/>
        <v>#DIV/0!</v>
      </c>
      <c r="G94" s="596" t="e">
        <f t="shared" si="9"/>
        <v>#DIV/0!</v>
      </c>
    </row>
    <row r="95" spans="1:7" s="524" customFormat="1" ht="15.75" customHeight="1">
      <c r="A95" s="591" t="s">
        <v>446</v>
      </c>
      <c r="B95" s="592" t="s">
        <v>958</v>
      </c>
      <c r="C95" s="609">
        <f>+Ingresos!C89</f>
        <v>0</v>
      </c>
      <c r="D95" s="609">
        <f>+Ingresos!E89</f>
        <v>0</v>
      </c>
      <c r="E95" s="610">
        <f>+Ingresos!H89</f>
        <v>0</v>
      </c>
      <c r="F95" s="596" t="e">
        <f t="shared" si="8"/>
        <v>#DIV/0!</v>
      </c>
      <c r="G95" s="596" t="e">
        <f t="shared" si="9"/>
        <v>#DIV/0!</v>
      </c>
    </row>
    <row r="96" spans="1:7" s="524" customFormat="1" ht="15.75" customHeight="1">
      <c r="A96" s="591" t="s">
        <v>959</v>
      </c>
      <c r="B96" s="592" t="s">
        <v>447</v>
      </c>
      <c r="C96" s="920">
        <f>+Ingresos!C90*(1-(VLOOKUP($A$96,'Ingresos Proyecciones'!$A$148:$P$166,LOOKUP($C$25,'Ingresos Proyecciones'!$C$9:$P$9,'Ingresos Proyecciones'!$C$178:$P$178),FALSE)))</f>
        <v>0</v>
      </c>
      <c r="D96" s="920">
        <f>+Ingresos!E90*(1-(VLOOKUP($A$96,'Ingresos Proyecciones'!$A$148:$P$166,LOOKUP($C$25,'Ingresos Proyecciones'!$C$9:$P$9,'Ingresos Proyecciones'!$C$178:$P$178),FALSE)))</f>
        <v>0</v>
      </c>
      <c r="E96" s="953">
        <f>+Ingresos!H90*(1-(VLOOKUP($A$96,'Ingresos Proyecciones'!$A$148:$P$166,LOOKUP($C$25,'Ingresos Proyecciones'!$C$9:$P$9,'Ingresos Proyecciones'!$C$178:$P$178),FALSE)))</f>
        <v>0</v>
      </c>
      <c r="F96" s="596" t="e">
        <f t="shared" si="8"/>
        <v>#DIV/0!</v>
      </c>
      <c r="G96" s="596" t="e">
        <f t="shared" si="9"/>
        <v>#DIV/0!</v>
      </c>
    </row>
    <row r="97" spans="1:7" s="524" customFormat="1" ht="15.75" customHeight="1">
      <c r="A97" s="581" t="s">
        <v>448</v>
      </c>
      <c r="B97" s="592" t="s">
        <v>449</v>
      </c>
      <c r="C97" s="609">
        <f>+Ingresos!C99-Ingresos!C107</f>
        <v>0</v>
      </c>
      <c r="D97" s="609">
        <f>+Ingresos!E99-Ingresos!E107</f>
        <v>0</v>
      </c>
      <c r="E97" s="610">
        <f>+Ingresos!H99-Ingresos!H107</f>
        <v>0</v>
      </c>
      <c r="F97" s="596" t="e">
        <f t="shared" si="8"/>
        <v>#DIV/0!</v>
      </c>
      <c r="G97" s="596" t="e">
        <f t="shared" si="9"/>
        <v>#DIV/0!</v>
      </c>
    </row>
    <row r="98" spans="1:7" s="524" customFormat="1" ht="15.75" customHeight="1">
      <c r="A98" s="581" t="s">
        <v>1005</v>
      </c>
      <c r="B98" s="592" t="s">
        <v>450</v>
      </c>
      <c r="C98" s="920" t="e">
        <f>+Ingresos!C111-( Ingresos!C121*0.15)-(Ingresos!C114*(VLOOKUP($A$98,'Ingresos Proyecciones'!$A$148:$P$166,LOOKUP($C$25,'Ingresos Proyecciones'!$C$9:$P$9,'Ingresos Proyecciones'!$C$178:$P$178),FALSE)))</f>
        <v>#N/A</v>
      </c>
      <c r="D98" s="920" t="e">
        <f>+Ingresos!E111-( Ingresos!E121*0.15)-(Ingresos!E114*(VLOOKUP($A$98,'Ingresos Proyecciones'!$A$148:$P$166,LOOKUP($C$25,'Ingresos Proyecciones'!$C$9:$P$9,'Ingresos Proyecciones'!$C$178:$P$178),FALSE)))</f>
        <v>#N/A</v>
      </c>
      <c r="E98" s="920">
        <f>+Ingresos!H111-( Ingresos!H121*0.15)-(Ingresos!H114*(VLOOKUP($A$98,'Ingresos Proyecciones'!$A$148:$P$166,LOOKUP($C$25,'Ingresos Proyecciones'!$C$9:$P$9,'Ingresos Proyecciones'!$C$178:$P$178),FALSE)))</f>
        <v>0</v>
      </c>
      <c r="F98" s="596" t="e">
        <f t="shared" si="8"/>
        <v>#N/A</v>
      </c>
      <c r="G98" s="596" t="e">
        <f t="shared" si="9"/>
        <v>#N/A</v>
      </c>
    </row>
    <row r="99" spans="1:7" s="524" customFormat="1" ht="15.75" customHeight="1">
      <c r="A99" s="591" t="s">
        <v>451</v>
      </c>
      <c r="B99" s="592" t="s">
        <v>452</v>
      </c>
      <c r="C99" s="920">
        <f>(+Ingresos!C123)*(1-(VLOOKUP($A$99,'Ingresos Proyecciones'!$A$148:$P$166,LOOKUP($C$25,'Ingresos Proyecciones'!$C$9:$P$9,'Ingresos Proyecciones'!$C$178:$P$178),FALSE)))</f>
        <v>500</v>
      </c>
      <c r="D99" s="920">
        <f>(+Ingresos!E123)*(1-(VLOOKUP($A$99,'Ingresos Proyecciones'!$A$148:$P$166,LOOKUP($C$25,'Ingresos Proyecciones'!$C$9:$P$9,'Ingresos Proyecciones'!$C$178:$P$178),FALSE)))</f>
        <v>500</v>
      </c>
      <c r="E99" s="920">
        <f>(+Ingresos!H123)*(1-(VLOOKUP($A$99,'Ingresos Proyecciones'!$A$148:$P$166,LOOKUP($C$25,'Ingresos Proyecciones'!$C$9:$P$9,'Ingresos Proyecciones'!$C$178:$P$178),FALSE)))</f>
        <v>0</v>
      </c>
      <c r="F99" s="596">
        <f t="shared" si="8"/>
        <v>0</v>
      </c>
      <c r="G99" s="596">
        <f t="shared" si="9"/>
        <v>0</v>
      </c>
    </row>
    <row r="100" spans="1:7" s="524" customFormat="1" ht="15.75" customHeight="1">
      <c r="A100" s="591" t="s">
        <v>1027</v>
      </c>
      <c r="B100" s="592" t="s">
        <v>453</v>
      </c>
      <c r="C100" s="609">
        <f>+Ingresos!C124</f>
        <v>0</v>
      </c>
      <c r="D100" s="609">
        <f>+Ingresos!E124</f>
        <v>0</v>
      </c>
      <c r="E100" s="610">
        <f>+Ingresos!H124</f>
        <v>0</v>
      </c>
      <c r="F100" s="596" t="e">
        <f t="shared" si="8"/>
        <v>#DIV/0!</v>
      </c>
      <c r="G100" s="596" t="e">
        <f t="shared" si="9"/>
        <v>#DIV/0!</v>
      </c>
    </row>
    <row r="101" spans="1:7" s="524" customFormat="1" ht="15.75" customHeight="1">
      <c r="A101" s="591" t="s">
        <v>1029</v>
      </c>
      <c r="B101" s="592" t="s">
        <v>454</v>
      </c>
      <c r="C101" s="609">
        <f>+Ingresos!C125</f>
        <v>0</v>
      </c>
      <c r="D101" s="609">
        <f>+Ingresos!E125</f>
        <v>0</v>
      </c>
      <c r="E101" s="610">
        <f>+Ingresos!H125</f>
        <v>0</v>
      </c>
      <c r="F101" s="596" t="e">
        <f t="shared" si="8"/>
        <v>#DIV/0!</v>
      </c>
      <c r="G101" s="596" t="e">
        <f t="shared" si="9"/>
        <v>#DIV/0!</v>
      </c>
    </row>
    <row r="102" spans="1:7" s="524" customFormat="1" ht="15.75" customHeight="1">
      <c r="A102" s="591" t="s">
        <v>1035</v>
      </c>
      <c r="B102" s="592" t="s">
        <v>455</v>
      </c>
      <c r="C102" s="609">
        <f>+Ingresos!C128</f>
        <v>0</v>
      </c>
      <c r="D102" s="609">
        <f>+Ingresos!E128</f>
        <v>0</v>
      </c>
      <c r="E102" s="610">
        <f>+Ingresos!H128</f>
        <v>0</v>
      </c>
      <c r="F102" s="596" t="e">
        <f t="shared" si="8"/>
        <v>#DIV/0!</v>
      </c>
      <c r="G102" s="596" t="e">
        <f t="shared" si="9"/>
        <v>#DIV/0!</v>
      </c>
    </row>
    <row r="103" spans="1:7" s="524" customFormat="1" ht="15.75" customHeight="1">
      <c r="A103" s="613" t="s">
        <v>1039</v>
      </c>
      <c r="B103" s="592" t="s">
        <v>456</v>
      </c>
      <c r="C103" s="609">
        <f>+Ingresos!C130</f>
        <v>0</v>
      </c>
      <c r="D103" s="609">
        <f>+Ingresos!E130</f>
        <v>0</v>
      </c>
      <c r="E103" s="610">
        <f>+Ingresos!H130</f>
        <v>0</v>
      </c>
      <c r="F103" s="596" t="e">
        <f t="shared" si="8"/>
        <v>#DIV/0!</v>
      </c>
      <c r="G103" s="596" t="e">
        <f t="shared" si="9"/>
        <v>#DIV/0!</v>
      </c>
    </row>
    <row r="104" spans="1:7" s="524" customFormat="1" ht="15.75" customHeight="1">
      <c r="A104" s="614" t="s">
        <v>457</v>
      </c>
      <c r="B104" s="582" t="s">
        <v>458</v>
      </c>
      <c r="C104" s="605">
        <f>+C105+C108</f>
        <v>759268.3600000001</v>
      </c>
      <c r="D104" s="605">
        <f>+D105+D108</f>
        <v>0</v>
      </c>
      <c r="E104" s="606">
        <f>+E105+E108</f>
        <v>0</v>
      </c>
      <c r="F104" s="590" t="e">
        <f t="shared" ref="F104:F111" si="10">+E104/D104</f>
        <v>#DIV/0!</v>
      </c>
      <c r="G104" s="590">
        <f t="shared" ref="G104:G111" si="11">+E104/C104</f>
        <v>0</v>
      </c>
    </row>
    <row r="105" spans="1:7" s="524" customFormat="1" ht="15.75" customHeight="1">
      <c r="A105" s="614" t="s">
        <v>459</v>
      </c>
      <c r="B105" s="582" t="s">
        <v>460</v>
      </c>
      <c r="C105" s="588">
        <f>SUM(C106:C107)</f>
        <v>725988.3600000001</v>
      </c>
      <c r="D105" s="589">
        <f>SUM(D106:D107)</f>
        <v>0</v>
      </c>
      <c r="E105" s="558">
        <f>SUM(E106:E107)</f>
        <v>0</v>
      </c>
      <c r="F105" s="590" t="e">
        <f t="shared" si="10"/>
        <v>#DIV/0!</v>
      </c>
      <c r="G105" s="590">
        <f t="shared" si="11"/>
        <v>0</v>
      </c>
    </row>
    <row r="106" spans="1:7" s="524" customFormat="1" ht="15.75" customHeight="1">
      <c r="A106" s="614" t="s">
        <v>461</v>
      </c>
      <c r="B106" s="592" t="s">
        <v>393</v>
      </c>
      <c r="C106" s="594">
        <f>+(Gastos!D91-Gastos!D92-Gastos!D95-Gastos!D97-Gastos!D96-Gastos!D98)+(Gastos!D105-Gastos!D106-Gastos!D108-Gastos!D109)+(Gastos!D128-Gastos!D129-Gastos!D132-Gastos!D133-Gastos!D134-Gastos!D135)+(Gastos!D142-Gastos!D143-Gastos!D145-Gastos!D146)+(Gastos!D165-Gastos!D166-Gastos!D169-Gastos!D170-Gastos!D171-Gastos!D172)+(Gastos!D179-Gastos!D180-Gastos!D182-Gastos!D183)+Gastos!D232</f>
        <v>0</v>
      </c>
      <c r="D106" s="594">
        <f>+(Gastos!G91-Gastos!G92-Gastos!G95-Gastos!G97-Gastos!G96-Gastos!G98)+(Gastos!G105-Gastos!G106-Gastos!G108-Gastos!G109)+(Gastos!G128-Gastos!G129-Gastos!G132-Gastos!G133-Gastos!G134-Gastos!G135)+(Gastos!G142-Gastos!G143-Gastos!G145-Gastos!G146)+(Gastos!G165-Gastos!G166-Gastos!G169-Gastos!G170-Gastos!G171-Gastos!G172)+(Gastos!G179-Gastos!G180-Gastos!G182-Gastos!G183)+Gastos!G232</f>
        <v>0</v>
      </c>
      <c r="E106" s="565">
        <f>+(Gastos!J91-Gastos!J92-Gastos!J95-Gastos!J97-Gastos!J96-Gastos!J98)+(Gastos!J105-Gastos!J106-Gastos!J108-Gastos!J109)+(Gastos!J128-Gastos!J129-Gastos!J132-Gastos!J133-Gastos!J134-Gastos!J135)+(Gastos!J142-Gastos!J143-Gastos!J145-Gastos!J146)+(Gastos!J165-Gastos!J166-Gastos!J169-Gastos!J170-Gastos!J171-Gastos!J172)+(Gastos!J179-Gastos!J180-Gastos!J182-Gastos!J183)+Gastos!J232</f>
        <v>0</v>
      </c>
      <c r="F106" s="596" t="e">
        <f t="shared" si="10"/>
        <v>#DIV/0!</v>
      </c>
      <c r="G106" s="596" t="e">
        <f t="shared" si="11"/>
        <v>#DIV/0!</v>
      </c>
    </row>
    <row r="107" spans="1:7" s="524" customFormat="1" ht="15.75" customHeight="1">
      <c r="A107" s="614" t="s">
        <v>462</v>
      </c>
      <c r="B107" s="592" t="s">
        <v>395</v>
      </c>
      <c r="C107" s="594">
        <f>+(Gastos!D112-Gastos!D113-Gastos!D116-Gastos!D117-Gastos!D118-Gastos!D119)+(Gastos!D149-Gastos!D150-Gastos!D153-Gastos!D154-Gastos!D155-Gastos!D156)+(Gastos!D185-Gastos!D186-Gastos!D189-Gastos!D190-Gastos!D191-Gastos!D192)</f>
        <v>725988.3600000001</v>
      </c>
      <c r="D107" s="594">
        <f>+(Gastos!G112-Gastos!G113-Gastos!G116-Gastos!G117-Gastos!G118-Gastos!G119)+(Gastos!G149-Gastos!G150-Gastos!G153-Gastos!G154-Gastos!G155-Gastos!G156)+(Gastos!G185-Gastos!G186-Gastos!G189-Gastos!G190-Gastos!G191-Gastos!G192)</f>
        <v>0</v>
      </c>
      <c r="E107" s="565">
        <f>+(Gastos!J112-Gastos!J113-Gastos!J116-Gastos!J117-Gastos!J118-Gastos!J119)+(Gastos!J149-Gastos!J150-Gastos!J153-Gastos!J154-Gastos!J155-Gastos!J156)+(Gastos!J185-Gastos!J186-Gastos!J189-Gastos!J190-Gastos!J191-Gastos!J192)</f>
        <v>0</v>
      </c>
      <c r="F107" s="596" t="e">
        <f t="shared" si="10"/>
        <v>#DIV/0!</v>
      </c>
      <c r="G107" s="596">
        <f t="shared" si="11"/>
        <v>0</v>
      </c>
    </row>
    <row r="108" spans="1:7" s="524" customFormat="1" ht="15.75" customHeight="1">
      <c r="A108" s="614" t="s">
        <v>463</v>
      </c>
      <c r="B108" s="582" t="s">
        <v>464</v>
      </c>
      <c r="C108" s="605">
        <f>SUM(C109:C109)</f>
        <v>33280</v>
      </c>
      <c r="D108" s="605">
        <f>SUM(D109:D109)</f>
        <v>0</v>
      </c>
      <c r="E108" s="606">
        <f>SUM(E109:E109)</f>
        <v>0</v>
      </c>
      <c r="F108" s="590" t="e">
        <f t="shared" si="10"/>
        <v>#DIV/0!</v>
      </c>
      <c r="G108" s="590">
        <f t="shared" si="11"/>
        <v>0</v>
      </c>
    </row>
    <row r="109" spans="1:7" s="524" customFormat="1" ht="15.75" customHeight="1">
      <c r="A109" s="615" t="s">
        <v>1150</v>
      </c>
      <c r="B109" s="592" t="s">
        <v>465</v>
      </c>
      <c r="C109" s="842">
        <f>+Gastos!D66+Gastos!D70+Gastos!D53</f>
        <v>33280</v>
      </c>
      <c r="D109" s="842">
        <f>+Gastos!G66+Gastos!G70+Gastos!G53</f>
        <v>0</v>
      </c>
      <c r="E109" s="846">
        <f>+Gastos!J66+Gastos!J70+Gastos!J53</f>
        <v>0</v>
      </c>
      <c r="F109" s="596" t="e">
        <f t="shared" si="10"/>
        <v>#DIV/0!</v>
      </c>
      <c r="G109" s="596">
        <f t="shared" si="11"/>
        <v>0</v>
      </c>
    </row>
    <row r="110" spans="1:7" s="524" customFormat="1" ht="15.75" customHeight="1">
      <c r="A110" s="614" t="s">
        <v>466</v>
      </c>
      <c r="B110" s="582" t="s">
        <v>467</v>
      </c>
      <c r="C110" s="605" t="e">
        <f>+C79-C104</f>
        <v>#REF!</v>
      </c>
      <c r="D110" s="605" t="e">
        <f>+D79-D104</f>
        <v>#REF!</v>
      </c>
      <c r="E110" s="606" t="e">
        <f>+E79-E104</f>
        <v>#REF!</v>
      </c>
      <c r="F110" s="590" t="e">
        <f t="shared" si="10"/>
        <v>#REF!</v>
      </c>
      <c r="G110" s="590" t="e">
        <f t="shared" si="11"/>
        <v>#REF!</v>
      </c>
    </row>
    <row r="111" spans="1:7" s="524" customFormat="1" ht="15.75" customHeight="1" thickBot="1">
      <c r="A111" s="616" t="s">
        <v>468</v>
      </c>
      <c r="B111" s="617" t="s">
        <v>469</v>
      </c>
      <c r="C111" s="618" t="e">
        <f>+C55+C63+C70+C77+C110</f>
        <v>#REF!</v>
      </c>
      <c r="D111" s="618" t="e">
        <f>+D55+D63+D70+D77+D110</f>
        <v>#REF!</v>
      </c>
      <c r="E111" s="572" t="e">
        <f>+E55+E63+E70+E77+E110</f>
        <v>#REF!</v>
      </c>
      <c r="F111" s="619" t="e">
        <f t="shared" si="10"/>
        <v>#REF!</v>
      </c>
      <c r="G111" s="619" t="e">
        <f t="shared" si="11"/>
        <v>#REF!</v>
      </c>
    </row>
    <row r="112" spans="1:7" s="524" customFormat="1" ht="15.75" customHeight="1">
      <c r="A112" s="620" t="s">
        <v>470</v>
      </c>
      <c r="B112" s="621" t="s">
        <v>471</v>
      </c>
      <c r="C112" s="622"/>
      <c r="D112" s="623"/>
      <c r="E112" s="579"/>
      <c r="F112" s="623"/>
      <c r="G112" s="623"/>
    </row>
    <row r="113" spans="1:7" s="524" customFormat="1" ht="15.75" customHeight="1">
      <c r="A113" s="624" t="s">
        <v>472</v>
      </c>
      <c r="B113" s="625" t="s">
        <v>473</v>
      </c>
      <c r="C113" s="626"/>
      <c r="D113" s="627"/>
      <c r="E113" s="585"/>
      <c r="F113" s="627"/>
      <c r="G113" s="627"/>
    </row>
    <row r="114" spans="1:7" s="524" customFormat="1" ht="15.75" customHeight="1">
      <c r="A114" s="624" t="s">
        <v>474</v>
      </c>
      <c r="B114" s="625" t="s">
        <v>475</v>
      </c>
      <c r="C114" s="628" t="e">
        <f>+C115+C116+C125</f>
        <v>#REF!</v>
      </c>
      <c r="D114" s="628" t="e">
        <f>+D115+D116+D125</f>
        <v>#REF!</v>
      </c>
      <c r="E114" s="558" t="e">
        <f>+E115+E116+E125</f>
        <v>#REF!</v>
      </c>
      <c r="F114" s="630" t="e">
        <f t="shared" ref="F114:F137" si="12">+E114/D114</f>
        <v>#REF!</v>
      </c>
      <c r="G114" s="630" t="e">
        <f t="shared" ref="G114:G126" si="13">+E114/C114</f>
        <v>#REF!</v>
      </c>
    </row>
    <row r="115" spans="1:7" s="524" customFormat="1" ht="15.75" customHeight="1">
      <c r="A115" s="631" t="s">
        <v>381</v>
      </c>
      <c r="B115" s="632" t="s">
        <v>476</v>
      </c>
      <c r="C115" s="633" t="e">
        <f>+C47</f>
        <v>#REF!</v>
      </c>
      <c r="D115" s="634" t="e">
        <f>+D47</f>
        <v>#REF!</v>
      </c>
      <c r="E115" s="565" t="e">
        <f>+E47</f>
        <v>#REF!</v>
      </c>
      <c r="F115" s="630" t="e">
        <f t="shared" si="12"/>
        <v>#REF!</v>
      </c>
      <c r="G115" s="630" t="e">
        <f t="shared" si="13"/>
        <v>#REF!</v>
      </c>
    </row>
    <row r="116" spans="1:7" s="529" customFormat="1" ht="15.75" customHeight="1">
      <c r="A116" s="635" t="s">
        <v>477</v>
      </c>
      <c r="B116" s="625" t="s">
        <v>478</v>
      </c>
      <c r="C116" s="628" t="e">
        <f>SUM(C117:C124)</f>
        <v>#REF!</v>
      </c>
      <c r="D116" s="628" t="e">
        <f>SUM(D117:D124)</f>
        <v>#REF!</v>
      </c>
      <c r="E116" s="636" t="e">
        <f>SUM(E117:E124)</f>
        <v>#REF!</v>
      </c>
      <c r="F116" s="630" t="e">
        <f t="shared" si="12"/>
        <v>#REF!</v>
      </c>
      <c r="G116" s="630" t="e">
        <f t="shared" si="13"/>
        <v>#REF!</v>
      </c>
    </row>
    <row r="117" spans="1:7" s="529" customFormat="1" ht="15.75" customHeight="1">
      <c r="A117" s="637" t="s">
        <v>822</v>
      </c>
      <c r="B117" s="632" t="s">
        <v>479</v>
      </c>
      <c r="C117" s="918">
        <f>(+Ingresos!C34*'Ley 617'!$G$14)*(VLOOKUP($A$117,'Ingresos Proyecciones'!$A$148:$P$166,LOOKUP($C$25,'Ingresos Proyecciones'!$C$9:$P$9,'Ingresos Proyecciones'!$C$178:$P$178),FALSE))</f>
        <v>0</v>
      </c>
      <c r="D117" s="564">
        <f>(+Ingresos!E34*'Ley 617'!$G$14)*(VLOOKUP($A$117,'Ingresos Proyecciones'!$A$148:$P$166,LOOKUP($C$25,'Ingresos Proyecciones'!$C$9:$P$9,'Ingresos Proyecciones'!$C$178:$P$178),FALSE))</f>
        <v>0</v>
      </c>
      <c r="E117" s="918">
        <f>(+Ingresos!H34*'Ley 617'!$G$14)*(VLOOKUP($A$117,'Ingresos Proyecciones'!$A$148:$P$166,LOOKUP($C$25,'Ingresos Proyecciones'!$C$9:$P$9,'Ingresos Proyecciones'!$C$178:$P$178),FALSE))</f>
        <v>0</v>
      </c>
      <c r="F117" s="630" t="e">
        <f t="shared" si="12"/>
        <v>#DIV/0!</v>
      </c>
      <c r="G117" s="630" t="e">
        <f t="shared" si="13"/>
        <v>#DIV/0!</v>
      </c>
    </row>
    <row r="118" spans="1:7" s="529" customFormat="1" ht="15.75" customHeight="1">
      <c r="A118" s="638" t="s">
        <v>833</v>
      </c>
      <c r="B118" s="632" t="s">
        <v>499</v>
      </c>
      <c r="C118" s="918" t="e">
        <f>(+Ingresos!C41*'Ley 617'!#REF!)*(VLOOKUP($A$118,'Ingresos Proyecciones'!$A$148:$P$166,LOOKUP($C$25,'Ingresos Proyecciones'!$C$9:$P$9,'Ingresos Proyecciones'!$C$178:$P$178),FALSE))</f>
        <v>#REF!</v>
      </c>
      <c r="D118" s="564" t="e">
        <f>(+Ingresos!E41*'Ley 617'!#REF!)*(VLOOKUP($A$118,'Ingresos Proyecciones'!$A$148:$P$166,LOOKUP($C$25,'Ingresos Proyecciones'!$C$9:$P$9,'Ingresos Proyecciones'!$C$178:$P$178),FALSE))</f>
        <v>#REF!</v>
      </c>
      <c r="E118" s="918" t="e">
        <f>(+Ingresos!H41*'Ley 617'!#REF!)*(VLOOKUP($A$118,'Ingresos Proyecciones'!$A$148:$P$166,LOOKUP($C$25,'Ingresos Proyecciones'!$C$9:$P$9,'Ingresos Proyecciones'!$C$178:$P$178),FALSE))</f>
        <v>#REF!</v>
      </c>
      <c r="F118" s="630" t="e">
        <f t="shared" si="12"/>
        <v>#REF!</v>
      </c>
      <c r="G118" s="630" t="e">
        <f t="shared" si="13"/>
        <v>#REF!</v>
      </c>
    </row>
    <row r="119" spans="1:7" s="529" customFormat="1" ht="15.75" customHeight="1">
      <c r="A119" s="639" t="s">
        <v>959</v>
      </c>
      <c r="B119" s="632" t="s">
        <v>500</v>
      </c>
      <c r="C119" s="918">
        <f>+Ingresos!C90*(VLOOKUP($A$119,'Ingresos Proyecciones'!$A$148:$P$166,LOOKUP($C$25,'Ingresos Proyecciones'!$C$9:$P$9,'Ingresos Proyecciones'!$C$178:$P$178),FALSE))</f>
        <v>0</v>
      </c>
      <c r="D119" s="918">
        <f>+Ingresos!E90*(VLOOKUP($A$119,'Ingresos Proyecciones'!$A$148:$P$166,LOOKUP($C$25,'Ingresos Proyecciones'!$C$9:$P$9,'Ingresos Proyecciones'!$C$178:$P$178),FALSE))</f>
        <v>0</v>
      </c>
      <c r="E119" s="918">
        <f>+Ingresos!H90*(VLOOKUP($A$119,'Ingresos Proyecciones'!$A$148:$P$166,LOOKUP($C$25,'Ingresos Proyecciones'!$C$9:$P$9,'Ingresos Proyecciones'!$C$178:$P$178),FALSE))</f>
        <v>0</v>
      </c>
      <c r="F119" s="630" t="e">
        <f t="shared" ref="F119:F124" si="14">+E119/D119</f>
        <v>#DIV/0!</v>
      </c>
      <c r="G119" s="630" t="e">
        <f t="shared" si="13"/>
        <v>#DIV/0!</v>
      </c>
    </row>
    <row r="120" spans="1:7" s="529" customFormat="1" ht="15.75" customHeight="1">
      <c r="A120" s="640" t="s">
        <v>1005</v>
      </c>
      <c r="B120" s="632" t="s">
        <v>501</v>
      </c>
      <c r="C120" s="918">
        <f>+(Ingresos!C114*'Ley 617'!$G$58)*(VLOOKUP($A$120,'Ingresos Proyecciones'!$A$148:$P$166,LOOKUP($C$25,'Ingresos Proyecciones'!$C$9:$P$9,'Ingresos Proyecciones'!$C$178:$P$178),FALSE))</f>
        <v>0</v>
      </c>
      <c r="D120" s="918">
        <f>+(Ingresos!E114*'Ley 617'!$G$58)*(VLOOKUP($A$120,'Ingresos Proyecciones'!$A$148:$P$166,LOOKUP($C$25,'Ingresos Proyecciones'!$C$9:$P$9,'Ingresos Proyecciones'!$C$178:$P$178),FALSE))</f>
        <v>0</v>
      </c>
      <c r="E120" s="918">
        <f>+(Ingresos!H114*'Ley 617'!$G$58)*(VLOOKUP($A$120,'Ingresos Proyecciones'!$A$148:$P$166,LOOKUP($C$25,'Ingresos Proyecciones'!$C$9:$P$9,'Ingresos Proyecciones'!$C$178:$P$178),FALSE))</f>
        <v>0</v>
      </c>
      <c r="F120" s="630" t="e">
        <f t="shared" si="14"/>
        <v>#DIV/0!</v>
      </c>
      <c r="G120" s="630" t="e">
        <f t="shared" si="13"/>
        <v>#DIV/0!</v>
      </c>
    </row>
    <row r="121" spans="1:7" s="529" customFormat="1" ht="15.75" customHeight="1">
      <c r="A121" s="677" t="s">
        <v>444</v>
      </c>
      <c r="B121" s="645" t="s">
        <v>502</v>
      </c>
      <c r="C121" s="918">
        <f>+Ingresos!C129*(VLOOKUP($A$121,'Ingresos Proyecciones'!$A$148:$P$166,LOOKUP($C$25,'Ingresos Proyecciones'!$C$9:$P$9,'Ingresos Proyecciones'!$C$178:$P$178),FALSE))</f>
        <v>0</v>
      </c>
      <c r="D121" s="918">
        <f>+Ingresos!E129*(VLOOKUP($A$121,'Ingresos Proyecciones'!$A$148:$P$166,LOOKUP($C$25,'Ingresos Proyecciones'!$C$9:$P$9,'Ingresos Proyecciones'!$C$178:$P$178),FALSE))</f>
        <v>0</v>
      </c>
      <c r="E121" s="918">
        <f>+Ingresos!H129*(VLOOKUP($A$121,'Ingresos Proyecciones'!$A$148:$P$166,LOOKUP($C$25,'Ingresos Proyecciones'!$C$9:$P$9,'Ingresos Proyecciones'!$C$178:$P$178),FALSE))</f>
        <v>0</v>
      </c>
      <c r="F121" s="630" t="e">
        <f t="shared" si="14"/>
        <v>#DIV/0!</v>
      </c>
      <c r="G121" s="630" t="e">
        <f>+E121/C121</f>
        <v>#DIV/0!</v>
      </c>
    </row>
    <row r="122" spans="1:7" s="529" customFormat="1" ht="15.75" customHeight="1">
      <c r="A122" s="677" t="s">
        <v>451</v>
      </c>
      <c r="B122" s="645" t="s">
        <v>503</v>
      </c>
      <c r="C122" s="918">
        <f>+Ingresos!C123*(VLOOKUP($A$122,'Ingresos Proyecciones'!$A$148:$P$166,LOOKUP($C$25,'Ingresos Proyecciones'!$C$9:$P$9,'Ingresos Proyecciones'!$C$178:$P$178),FALSE))</f>
        <v>0</v>
      </c>
      <c r="D122" s="918">
        <f>+Ingresos!E123*(VLOOKUP($A$122,'Ingresos Proyecciones'!$A$148:$P$166,LOOKUP($C$25,'Ingresos Proyecciones'!$C$9:$P$9,'Ingresos Proyecciones'!$C$178:$P$178),FALSE))</f>
        <v>0</v>
      </c>
      <c r="E122" s="918">
        <f>+Ingresos!H123*(VLOOKUP($A$122,'Ingresos Proyecciones'!$A$148:$P$166,LOOKUP($C$25,'Ingresos Proyecciones'!$C$9:$P$9,'Ingresos Proyecciones'!$C$178:$P$178),FALSE))</f>
        <v>0</v>
      </c>
      <c r="F122" s="630" t="e">
        <f t="shared" si="14"/>
        <v>#DIV/0!</v>
      </c>
      <c r="G122" s="630" t="e">
        <f>+E122/C122</f>
        <v>#DIV/0!</v>
      </c>
    </row>
    <row r="123" spans="1:7" s="529" customFormat="1" ht="15.75" customHeight="1">
      <c r="A123" s="641" t="s">
        <v>891</v>
      </c>
      <c r="B123" s="632" t="s">
        <v>504</v>
      </c>
      <c r="C123" s="921">
        <f>IF(Ingresos!B10&lt;=2003,(Ingresos!C71*0.49*(VLOOKUP($A$123,'Ingresos Proyecciones'!$A$148:$P$166,LOOKUP($C$25,'Ingresos Proyecciones'!$C$9:$P$9,'Ingresos Proyecciones'!$C$178:$P$178),FALSE))),IF(Ingresos!D22="NO",(Ingresos!C71*0.42*(VLOOKUP($A$123,'Ingresos Proyecciones'!$A$148:$P$166,LOOKUP($C$25,'Ingresos Proyecciones'!$C$9:$P$9,'Ingresos Proyecciones'!$C$178:$P$178),FALSE))),IF(Ingresos!D22="SI",Ingresos!C71*0.52*(VLOOKUP($A$123,'Ingresos Proyecciones'!$A$148:$P$166,LOOKUP($C$25,'Ingresos Proyecciones'!$C$9:$P$9,'Ingresos Proyecciones'!$C$178:$P$178),FALSE)))))</f>
        <v>0</v>
      </c>
      <c r="D123" s="921">
        <f>IF(Ingresos!B10&lt;=2003,(Ingresos!E71*0.49*(VLOOKUP($A$123,'Ingresos Proyecciones'!$A$148:$P$166,LOOKUP($C$25,'Ingresos Proyecciones'!$C$9:$P$9,'Ingresos Proyecciones'!$C$178:$P$178),FALSE))),IF(Ingresos!D22="NO",(Ingresos!E71*0.42*(VLOOKUP($A$123,'Ingresos Proyecciones'!$A$148:$P$166,LOOKUP($C$25,'Ingresos Proyecciones'!$C$9:$P$9,'Ingresos Proyecciones'!$C$178:$P$178),FALSE))),IF(Ingresos!D22="SI",Ingresos!E71*0.52*(VLOOKUP($A$123,'Ingresos Proyecciones'!$A$148:$P$166,LOOKUP($C$25,'Ingresos Proyecciones'!$C$9:$P$9,'Ingresos Proyecciones'!$C$178:$P$178),FALSE)))))</f>
        <v>0</v>
      </c>
      <c r="E123" s="921">
        <f>IF(Ingresos!B10&lt;=2003,(Ingresos!H71*0.49*(VLOOKUP($A$123,'Ingresos Proyecciones'!$A$148:$P$166,LOOKUP($C$25,'Ingresos Proyecciones'!$C$9:$P$9,'Ingresos Proyecciones'!$C$178:$P$178),FALSE))),IF(Ingresos!D22="NO",(Ingresos!H71*0.42*(VLOOKUP($A$123,'Ingresos Proyecciones'!$A$148:$P$166,LOOKUP($C$25,'Ingresos Proyecciones'!$C$9:$P$9,'Ingresos Proyecciones'!$C$178:$P$178),FALSE))),IF(Ingresos!D22="SI",Ingresos!H71*0.52*(VLOOKUP($A$123,'Ingresos Proyecciones'!$A$148:$P$166,LOOKUP($C$25,'Ingresos Proyecciones'!$C$9:$P$9,'Ingresos Proyecciones'!$C$178:$P$178),FALSE)))))</f>
        <v>0</v>
      </c>
      <c r="F123" s="630" t="e">
        <f t="shared" si="14"/>
        <v>#DIV/0!</v>
      </c>
      <c r="G123" s="630" t="e">
        <f t="shared" si="13"/>
        <v>#DIV/0!</v>
      </c>
    </row>
    <row r="124" spans="1:7" s="529" customFormat="1" ht="15.75" customHeight="1">
      <c r="A124" s="642" t="s">
        <v>895</v>
      </c>
      <c r="B124" s="632" t="s">
        <v>505</v>
      </c>
      <c r="C124" s="918">
        <f>+(Ingresos!C73-'Ley 617'!D43)*(VLOOKUP($A$124,'Ingresos Proyecciones'!$A$148:$P$166,LOOKUP($C$25,'Ingresos Proyecciones'!$C$9:$P$9,'Ingresos Proyecciones'!$C$178:$P$178),FALSE))</f>
        <v>0</v>
      </c>
      <c r="D124" s="918">
        <f>+(Ingresos!E73-'Ley 617'!E43)*(VLOOKUP($A$124,'Ingresos Proyecciones'!$A$148:$P$166,LOOKUP($C$25,'Ingresos Proyecciones'!$C$9:$P$9,'Ingresos Proyecciones'!$C$178:$P$178),FALSE))</f>
        <v>0</v>
      </c>
      <c r="E124" s="918">
        <f>+(Ingresos!H73-'Ley 617'!F43)*(VLOOKUP($A$124,'Ingresos Proyecciones'!$A$148:$P$166,LOOKUP($C$25,'Ingresos Proyecciones'!$C$9:$P$9,'Ingresos Proyecciones'!$C$178:$P$178),FALSE))</f>
        <v>0</v>
      </c>
      <c r="F124" s="630" t="e">
        <f t="shared" si="14"/>
        <v>#DIV/0!</v>
      </c>
      <c r="G124" s="630" t="e">
        <f t="shared" si="13"/>
        <v>#DIV/0!</v>
      </c>
    </row>
    <row r="125" spans="1:7" s="529" customFormat="1" ht="15.75" customHeight="1">
      <c r="A125" s="642" t="s">
        <v>506</v>
      </c>
      <c r="B125" s="632" t="s">
        <v>507</v>
      </c>
      <c r="C125" s="633">
        <f>+Ingresos!C107</f>
        <v>0</v>
      </c>
      <c r="D125" s="633">
        <f>+Ingresos!E107</f>
        <v>0</v>
      </c>
      <c r="E125" s="595">
        <f>+Ingresos!H107</f>
        <v>0</v>
      </c>
      <c r="F125" s="630" t="e">
        <f t="shared" si="12"/>
        <v>#DIV/0!</v>
      </c>
      <c r="G125" s="630" t="e">
        <f t="shared" si="13"/>
        <v>#DIV/0!</v>
      </c>
    </row>
    <row r="126" spans="1:7" s="529" customFormat="1" ht="15.75" customHeight="1">
      <c r="A126" s="635" t="s">
        <v>508</v>
      </c>
      <c r="B126" s="625" t="s">
        <v>509</v>
      </c>
      <c r="C126" s="918" t="e">
        <f>+C179</f>
        <v>#REF!</v>
      </c>
      <c r="D126" s="918" t="e">
        <f>+D179</f>
        <v>#REF!</v>
      </c>
      <c r="E126" s="557" t="e">
        <f>+E179</f>
        <v>#REF!</v>
      </c>
      <c r="F126" s="643" t="e">
        <f>+E126/D126</f>
        <v>#REF!</v>
      </c>
      <c r="G126" s="643" t="e">
        <f t="shared" si="13"/>
        <v>#REF!</v>
      </c>
    </row>
    <row r="127" spans="1:7" s="529" customFormat="1" ht="15.75" customHeight="1">
      <c r="A127" s="644" t="s">
        <v>268</v>
      </c>
      <c r="B127" s="625" t="s">
        <v>269</v>
      </c>
      <c r="C127" s="628">
        <f>SUM(C128:C137)</f>
        <v>0</v>
      </c>
      <c r="D127" s="952">
        <f>SUM(D128:D137)</f>
        <v>0</v>
      </c>
      <c r="E127" s="558">
        <f>SUM(E128:E137)</f>
        <v>0</v>
      </c>
      <c r="F127" s="643" t="e">
        <f t="shared" si="12"/>
        <v>#DIV/0!</v>
      </c>
      <c r="G127" s="643" t="e">
        <f t="shared" ref="G127:G138" si="15">+E127/C127</f>
        <v>#DIV/0!</v>
      </c>
    </row>
    <row r="128" spans="1:7" s="529" customFormat="1" ht="15.75" customHeight="1">
      <c r="A128" s="644" t="s">
        <v>270</v>
      </c>
      <c r="B128" s="632" t="s">
        <v>271</v>
      </c>
      <c r="C128" s="633">
        <f>IF(Ingresos!$D$22="SI",(VLOOKUP(A128,'Pasivo a Cancelar y Deuda'!$A$54:$Q$84,LOOKUP($C$25,'Pasivo a Cancelar y Deuda'!$C$52:$Q$52,'Pasivo a Cancelar y Deuda'!$C$105:$Q$105),FALSE)),VLOOKUP("159A2",'Pasivo a Cancelar y Deuda'!$A$54:$Q$84,LOOKUP($C$25,'Pasivo a Cancelar y Deuda'!$C$52:$Q$52,'Pasivo a Cancelar y Deuda'!$C$105:$Q$105)))</f>
        <v>0</v>
      </c>
      <c r="D128" s="951">
        <f>'Pasivo a Cancelar y Deuda'!D28-D42</f>
        <v>0</v>
      </c>
      <c r="E128" s="595">
        <f>IF(Ingresos!$D$22="SI",('Pasivo a Cancelar y Deuda'!F28+'Pasivo a Cancelar y Deuda'!G28),'Pasivo a Cancelar y Deuda'!G28)</f>
        <v>0</v>
      </c>
      <c r="F128" s="630" t="e">
        <f t="shared" si="12"/>
        <v>#DIV/0!</v>
      </c>
      <c r="G128" s="630" t="e">
        <f t="shared" si="15"/>
        <v>#DIV/0!</v>
      </c>
    </row>
    <row r="129" spans="1:7" s="529" customFormat="1" ht="15.75" customHeight="1">
      <c r="A129" s="644" t="s">
        <v>272</v>
      </c>
      <c r="B129" s="632" t="s">
        <v>273</v>
      </c>
      <c r="C129" s="633">
        <f>IF(Ingresos!$D$22="SI",(VLOOKUP(A129,'Pasivo a Cancelar y Deuda'!$A$54:$Q$84,LOOKUP($C$25,'Pasivo a Cancelar y Deuda'!$C$52:$Q$52,'Pasivo a Cancelar y Deuda'!$C$105:$Q$105),FALSE)),VLOOKUP("160A2",'Pasivo a Cancelar y Deuda'!$A$54:$Q$84,LOOKUP($C$25,'Pasivo a Cancelar y Deuda'!$C$52:$Q$52,'Pasivo a Cancelar y Deuda'!$C$105:$Q$105)))</f>
        <v>0</v>
      </c>
      <c r="D129" s="633">
        <f>'Pasivo a Cancelar y Deuda'!D29</f>
        <v>0</v>
      </c>
      <c r="E129" s="595">
        <f>IF(Ingresos!$D$22="SI",('Pasivo a Cancelar y Deuda'!F29+'Pasivo a Cancelar y Deuda'!G29),'Pasivo a Cancelar y Deuda'!G29)</f>
        <v>0</v>
      </c>
      <c r="F129" s="630" t="e">
        <f t="shared" si="12"/>
        <v>#DIV/0!</v>
      </c>
      <c r="G129" s="630" t="e">
        <f t="shared" si="15"/>
        <v>#DIV/0!</v>
      </c>
    </row>
    <row r="130" spans="1:7" s="529" customFormat="1" ht="15.75" customHeight="1">
      <c r="A130" s="644" t="s">
        <v>274</v>
      </c>
      <c r="B130" s="632" t="s">
        <v>275</v>
      </c>
      <c r="C130" s="633">
        <f>IF(Ingresos!$D$22="SI",(VLOOKUP(A130,'Pasivo a Cancelar y Deuda'!$A$54:$Q$84,LOOKUP($C$25,'Pasivo a Cancelar y Deuda'!$C$52:$Q$52,'Pasivo a Cancelar y Deuda'!$C$105:$Q$105),FALSE)),VLOOKUP("161A2",'Pasivo a Cancelar y Deuda'!$A$54:$Q$84,LOOKUP($C$25,'Pasivo a Cancelar y Deuda'!$C$52:$Q$52,'Pasivo a Cancelar y Deuda'!$C$105:$Q$105)))</f>
        <v>0</v>
      </c>
      <c r="D130" s="633">
        <f>'Pasivo a Cancelar y Deuda'!D30</f>
        <v>0</v>
      </c>
      <c r="E130" s="595">
        <f>IF(Ingresos!$D$22="SI",('Pasivo a Cancelar y Deuda'!F30+'Pasivo a Cancelar y Deuda'!G30),'Pasivo a Cancelar y Deuda'!G30)</f>
        <v>0</v>
      </c>
      <c r="F130" s="630" t="e">
        <f t="shared" si="12"/>
        <v>#DIV/0!</v>
      </c>
      <c r="G130" s="630" t="e">
        <f t="shared" si="15"/>
        <v>#DIV/0!</v>
      </c>
    </row>
    <row r="131" spans="1:7" s="529" customFormat="1" ht="15.75" customHeight="1">
      <c r="A131" s="644" t="s">
        <v>276</v>
      </c>
      <c r="B131" s="632" t="s">
        <v>277</v>
      </c>
      <c r="C131" s="633">
        <f>IF(Ingresos!$D$22="SI",(VLOOKUP(A131,'Pasivo a Cancelar y Deuda'!$A$54:$Q$84,LOOKUP($C$25,'Pasivo a Cancelar y Deuda'!$C$52:$Q$52,'Pasivo a Cancelar y Deuda'!$C$105:$Q$105),FALSE)),VLOOKUP("162A2",'Pasivo a Cancelar y Deuda'!$A$54:$Q$84,LOOKUP($C$25,'Pasivo a Cancelar y Deuda'!$C$52:$Q$52,'Pasivo a Cancelar y Deuda'!$C$105:$Q$105)))</f>
        <v>0</v>
      </c>
      <c r="D131" s="633">
        <f>'Pasivo a Cancelar y Deuda'!D31</f>
        <v>0</v>
      </c>
      <c r="E131" s="595">
        <f>IF(Ingresos!$D$22="SI",('Pasivo a Cancelar y Deuda'!F31+'Pasivo a Cancelar y Deuda'!G31),'Pasivo a Cancelar y Deuda'!G31)</f>
        <v>0</v>
      </c>
      <c r="F131" s="630" t="e">
        <f t="shared" si="12"/>
        <v>#DIV/0!</v>
      </c>
      <c r="G131" s="630" t="e">
        <f t="shared" si="15"/>
        <v>#DIV/0!</v>
      </c>
    </row>
    <row r="132" spans="1:7" s="529" customFormat="1" ht="15.75" customHeight="1">
      <c r="A132" s="644" t="s">
        <v>278</v>
      </c>
      <c r="B132" s="632" t="s">
        <v>279</v>
      </c>
      <c r="C132" s="633">
        <f>IF(Ingresos!$D$22="SI",(VLOOKUP(A132,'Pasivo a Cancelar y Deuda'!$A$54:$Q$84,LOOKUP($C$25,'Pasivo a Cancelar y Deuda'!$C$52:$Q$52,'Pasivo a Cancelar y Deuda'!$C$105:$Q$105),FALSE)),VLOOKUP("163A2",'Pasivo a Cancelar y Deuda'!$A$54:$Q$84,LOOKUP($C$25,'Pasivo a Cancelar y Deuda'!$C$52:$Q$52,'Pasivo a Cancelar y Deuda'!$C$105:$Q$105)))</f>
        <v>0</v>
      </c>
      <c r="D132" s="633">
        <f>'Pasivo a Cancelar y Deuda'!D32</f>
        <v>0</v>
      </c>
      <c r="E132" s="595">
        <f>IF(Ingresos!$D$22="SI",('Pasivo a Cancelar y Deuda'!F32+'Pasivo a Cancelar y Deuda'!G32),'Pasivo a Cancelar y Deuda'!G32)</f>
        <v>0</v>
      </c>
      <c r="F132" s="630" t="e">
        <f t="shared" si="12"/>
        <v>#DIV/0!</v>
      </c>
      <c r="G132" s="630" t="e">
        <f t="shared" si="15"/>
        <v>#DIV/0!</v>
      </c>
    </row>
    <row r="133" spans="1:7" s="529" customFormat="1" ht="15.75" customHeight="1">
      <c r="A133" s="644" t="s">
        <v>280</v>
      </c>
      <c r="B133" s="632" t="s">
        <v>281</v>
      </c>
      <c r="C133" s="633">
        <f>IF(Ingresos!$D$22="SI",(VLOOKUP(A133,'Pasivo a Cancelar y Deuda'!$A$54:$Q$84,LOOKUP($C$25,'Pasivo a Cancelar y Deuda'!$C$52:$Q$52,'Pasivo a Cancelar y Deuda'!$C$105:$Q$105),FALSE)),VLOOKUP("164A2",'Pasivo a Cancelar y Deuda'!$A$54:$Q$84,LOOKUP($C$25,'Pasivo a Cancelar y Deuda'!$C$52:$Q$52,'Pasivo a Cancelar y Deuda'!$C$105:$Q$105)))</f>
        <v>0</v>
      </c>
      <c r="D133" s="633">
        <f>'Pasivo a Cancelar y Deuda'!D33</f>
        <v>0</v>
      </c>
      <c r="E133" s="595">
        <f>IF(Ingresos!$D$22="SI",('Pasivo a Cancelar y Deuda'!F33+'Pasivo a Cancelar y Deuda'!G33),'Pasivo a Cancelar y Deuda'!G33)</f>
        <v>0</v>
      </c>
      <c r="F133" s="630" t="e">
        <f t="shared" si="12"/>
        <v>#DIV/0!</v>
      </c>
      <c r="G133" s="630" t="e">
        <f t="shared" si="15"/>
        <v>#DIV/0!</v>
      </c>
    </row>
    <row r="134" spans="1:7" s="529" customFormat="1" ht="15.75" customHeight="1">
      <c r="A134" s="644" t="s">
        <v>282</v>
      </c>
      <c r="B134" s="632" t="s">
        <v>283</v>
      </c>
      <c r="C134" s="633">
        <f>IF(Ingresos!$D$22="SI",(VLOOKUP(A134,'Pasivo a Cancelar y Deuda'!$A$54:$Q$84,LOOKUP($C$25,'Pasivo a Cancelar y Deuda'!$C$52:$Q$52,'Pasivo a Cancelar y Deuda'!$C$105:$Q$105),FALSE)),VLOOKUP("165A2",'Pasivo a Cancelar y Deuda'!$A$54:$Q$84,LOOKUP($C$25,'Pasivo a Cancelar y Deuda'!$C$52:$Q$52,'Pasivo a Cancelar y Deuda'!$C$105:$Q$105)))</f>
        <v>0</v>
      </c>
      <c r="D134" s="633">
        <f>'Pasivo a Cancelar y Deuda'!D34</f>
        <v>0</v>
      </c>
      <c r="E134" s="595">
        <f>IF(Ingresos!$D$22="SI",('Pasivo a Cancelar y Deuda'!F34+'Pasivo a Cancelar y Deuda'!G34),'Pasivo a Cancelar y Deuda'!G34)</f>
        <v>0</v>
      </c>
      <c r="F134" s="630" t="e">
        <f t="shared" si="12"/>
        <v>#DIV/0!</v>
      </c>
      <c r="G134" s="630" t="e">
        <f t="shared" si="15"/>
        <v>#DIV/0!</v>
      </c>
    </row>
    <row r="135" spans="1:7" s="529" customFormat="1" ht="15.75" customHeight="1">
      <c r="A135" s="644" t="s">
        <v>284</v>
      </c>
      <c r="B135" s="645" t="s">
        <v>285</v>
      </c>
      <c r="C135" s="633">
        <f>IF(Ingresos!$D$22="SI",(VLOOKUP(A135,'Pasivo a Cancelar y Deuda'!$A$54:$Q$84,LOOKUP($C$25,'Pasivo a Cancelar y Deuda'!$C$52:$Q$52,'Pasivo a Cancelar y Deuda'!$C$105:$Q$105),FALSE)),VLOOKUP("166A2",'Pasivo a Cancelar y Deuda'!$A$54:$Q$84,LOOKUP($C$25,'Pasivo a Cancelar y Deuda'!$C$52:$Q$52,'Pasivo a Cancelar y Deuda'!$C$105:$Q$105)))</f>
        <v>0</v>
      </c>
      <c r="D135" s="633">
        <f>'Pasivo a Cancelar y Deuda'!D35</f>
        <v>0</v>
      </c>
      <c r="E135" s="595">
        <f>IF(Ingresos!$D$22="SI",('Pasivo a Cancelar y Deuda'!F35+'Pasivo a Cancelar y Deuda'!G35),'Pasivo a Cancelar y Deuda'!G35)</f>
        <v>0</v>
      </c>
      <c r="F135" s="630" t="e">
        <f t="shared" si="12"/>
        <v>#DIV/0!</v>
      </c>
      <c r="G135" s="630" t="e">
        <f t="shared" si="15"/>
        <v>#DIV/0!</v>
      </c>
    </row>
    <row r="136" spans="1:7" s="529" customFormat="1" ht="15.75" customHeight="1">
      <c r="A136" s="644" t="s">
        <v>286</v>
      </c>
      <c r="B136" s="645" t="s">
        <v>287</v>
      </c>
      <c r="C136" s="633">
        <f>IF(Ingresos!$D$22="SI",(VLOOKUP(A136,'Pasivo a Cancelar y Deuda'!$A$54:$Q$84,LOOKUP($C$25,'Pasivo a Cancelar y Deuda'!$C$52:$Q$52,'Pasivo a Cancelar y Deuda'!$C$105:$Q$105),FALSE)),VLOOKUP("167A2",'Pasivo a Cancelar y Deuda'!$A$54:$Q$84,LOOKUP($C$25,'Pasivo a Cancelar y Deuda'!$C$52:$Q$52,'Pasivo a Cancelar y Deuda'!$C$105:$Q$105)))</f>
        <v>0</v>
      </c>
      <c r="D136" s="633">
        <f>'Pasivo a Cancelar y Deuda'!D36</f>
        <v>0</v>
      </c>
      <c r="E136" s="595">
        <f>IF(Ingresos!$D$22="SI",('Pasivo a Cancelar y Deuda'!F36+'Pasivo a Cancelar y Deuda'!G36),'Pasivo a Cancelar y Deuda'!G36)</f>
        <v>0</v>
      </c>
      <c r="F136" s="630" t="e">
        <f t="shared" si="12"/>
        <v>#DIV/0!</v>
      </c>
      <c r="G136" s="630" t="e">
        <f t="shared" si="15"/>
        <v>#DIV/0!</v>
      </c>
    </row>
    <row r="137" spans="1:7" s="529" customFormat="1" ht="15.75" customHeight="1">
      <c r="A137" s="644" t="s">
        <v>288</v>
      </c>
      <c r="B137" s="645" t="s">
        <v>289</v>
      </c>
      <c r="C137" s="633">
        <f>IF(Ingresos!$D$22="SI",(VLOOKUP(A137,'Pasivo a Cancelar y Deuda'!$A$54:$Q$84,LOOKUP($C$25,'Pasivo a Cancelar y Deuda'!$C$52:$Q$52,'Pasivo a Cancelar y Deuda'!$C$105:$Q$105),FALSE)),VLOOKUP("168A2",'Pasivo a Cancelar y Deuda'!$A$54:$Q$84,LOOKUP($C$25,'Pasivo a Cancelar y Deuda'!$C$52:$Q$52,'Pasivo a Cancelar y Deuda'!$C$105:$Q$105)))</f>
        <v>0</v>
      </c>
      <c r="D137" s="633">
        <f>'Pasivo a Cancelar y Deuda'!D37</f>
        <v>0</v>
      </c>
      <c r="E137" s="595">
        <f>IF(Ingresos!$D$22="SI",('Pasivo a Cancelar y Deuda'!F37+'Pasivo a Cancelar y Deuda'!G37),'Pasivo a Cancelar y Deuda'!G37)</f>
        <v>0</v>
      </c>
      <c r="F137" s="630" t="e">
        <f t="shared" si="12"/>
        <v>#DIV/0!</v>
      </c>
      <c r="G137" s="630" t="e">
        <f t="shared" si="15"/>
        <v>#DIV/0!</v>
      </c>
    </row>
    <row r="138" spans="1:7" s="529" customFormat="1" ht="15.75" customHeight="1">
      <c r="A138" s="635" t="s">
        <v>510</v>
      </c>
      <c r="B138" s="625" t="s">
        <v>511</v>
      </c>
      <c r="C138" s="628" t="e">
        <f>+C114-C127</f>
        <v>#REF!</v>
      </c>
      <c r="D138" s="628" t="e">
        <f>+D114-D127</f>
        <v>#REF!</v>
      </c>
      <c r="E138" s="636" t="e">
        <f>+E114-E127</f>
        <v>#REF!</v>
      </c>
      <c r="F138" s="643" t="e">
        <f>+E138/D138</f>
        <v>#REF!</v>
      </c>
      <c r="G138" s="643" t="e">
        <f t="shared" si="15"/>
        <v>#REF!</v>
      </c>
    </row>
    <row r="139" spans="1:7" s="524" customFormat="1" ht="15.75" customHeight="1">
      <c r="A139" s="635" t="s">
        <v>512</v>
      </c>
      <c r="B139" s="625" t="s">
        <v>513</v>
      </c>
      <c r="C139" s="646"/>
      <c r="D139" s="647"/>
      <c r="E139" s="585"/>
      <c r="F139" s="643"/>
      <c r="G139" s="643"/>
    </row>
    <row r="140" spans="1:7" s="524" customFormat="1" ht="15.75" customHeight="1">
      <c r="A140" s="635" t="s">
        <v>514</v>
      </c>
      <c r="B140" s="625" t="s">
        <v>388</v>
      </c>
      <c r="C140" s="628" t="e">
        <f>SUM(C141:C142)</f>
        <v>#REF!</v>
      </c>
      <c r="D140" s="629" t="e">
        <f>SUM(D141:D142)</f>
        <v>#REF!</v>
      </c>
      <c r="E140" s="558" t="e">
        <f>SUM(E141:E142)</f>
        <v>#REF!</v>
      </c>
      <c r="F140" s="643" t="e">
        <f t="shared" ref="F140:F151" si="16">+E140/D140</f>
        <v>#REF!</v>
      </c>
      <c r="G140" s="643" t="e">
        <f>+E140/C140</f>
        <v>#REF!</v>
      </c>
    </row>
    <row r="141" spans="1:7" s="524" customFormat="1" ht="15.75" customHeight="1">
      <c r="A141" s="635" t="s">
        <v>510</v>
      </c>
      <c r="B141" s="632" t="s">
        <v>515</v>
      </c>
      <c r="C141" s="633" t="e">
        <f>+C138</f>
        <v>#REF!</v>
      </c>
      <c r="D141" s="634" t="e">
        <f>+D138</f>
        <v>#REF!</v>
      </c>
      <c r="E141" s="565" t="e">
        <f>+E138</f>
        <v>#REF!</v>
      </c>
      <c r="F141" s="630" t="e">
        <f>+E141/D141</f>
        <v>#REF!</v>
      </c>
      <c r="G141" s="630" t="e">
        <f>+E141/C141</f>
        <v>#REF!</v>
      </c>
    </row>
    <row r="142" spans="1:7" s="524" customFormat="1" ht="15.75" customHeight="1">
      <c r="A142" s="644" t="s">
        <v>468</v>
      </c>
      <c r="B142" s="632" t="s">
        <v>516</v>
      </c>
      <c r="C142" s="633" t="e">
        <f>+C111</f>
        <v>#REF!</v>
      </c>
      <c r="D142" s="634" t="e">
        <f>+D111</f>
        <v>#REF!</v>
      </c>
      <c r="E142" s="565" t="e">
        <f>+E111</f>
        <v>#REF!</v>
      </c>
      <c r="F142" s="630" t="e">
        <f t="shared" si="16"/>
        <v>#REF!</v>
      </c>
      <c r="G142" s="630" t="e">
        <f>+E142/C142</f>
        <v>#REF!</v>
      </c>
    </row>
    <row r="143" spans="1:7" s="524" customFormat="1" ht="15.75" customHeight="1">
      <c r="A143" s="644" t="s">
        <v>290</v>
      </c>
      <c r="B143" s="625" t="s">
        <v>291</v>
      </c>
      <c r="C143" s="628">
        <f>SUM(C144:C151)</f>
        <v>0</v>
      </c>
      <c r="D143" s="629">
        <f>SUM(D144:D151)</f>
        <v>0</v>
      </c>
      <c r="E143" s="558">
        <f>SUM(E144:E151)</f>
        <v>0</v>
      </c>
      <c r="F143" s="643" t="e">
        <f t="shared" si="16"/>
        <v>#DIV/0!</v>
      </c>
      <c r="G143" s="643" t="e">
        <f t="shared" ref="G143:G152" si="17">+E143/C143</f>
        <v>#DIV/0!</v>
      </c>
    </row>
    <row r="144" spans="1:7" s="524" customFormat="1" ht="15.75" customHeight="1">
      <c r="A144" s="644" t="s">
        <v>292</v>
      </c>
      <c r="B144" s="632" t="s">
        <v>293</v>
      </c>
      <c r="C144" s="633">
        <f>VLOOKUP(A144,'Pasivo a Cancelar y Deuda'!$A$85:$Q$93,LOOKUP($C$25,'Pasivo a Cancelar y Deuda'!$C$52:$Q$52,'Pasivo a Cancelar y Deuda'!$C$105:$Q$105),FALSE)</f>
        <v>0</v>
      </c>
      <c r="D144" s="633">
        <f>'Pasivo a Cancelar y Deuda'!D39</f>
        <v>0</v>
      </c>
      <c r="E144" s="595">
        <f>'Pasivo a Cancelar y Deuda'!F39+'Pasivo a Cancelar y Deuda'!G39</f>
        <v>0</v>
      </c>
      <c r="F144" s="630" t="e">
        <f t="shared" si="16"/>
        <v>#DIV/0!</v>
      </c>
      <c r="G144" s="630" t="e">
        <f t="shared" si="17"/>
        <v>#DIV/0!</v>
      </c>
    </row>
    <row r="145" spans="1:11" s="524" customFormat="1" ht="15.75" customHeight="1">
      <c r="A145" s="644" t="s">
        <v>294</v>
      </c>
      <c r="B145" s="632" t="s">
        <v>295</v>
      </c>
      <c r="C145" s="633">
        <f>VLOOKUP(A145,'Pasivo a Cancelar y Deuda'!$A$85:$Q$93,LOOKUP($C$25,'Pasivo a Cancelar y Deuda'!$C$52:$Q$52,'Pasivo a Cancelar y Deuda'!$C$105:$Q$105),FALSE)</f>
        <v>0</v>
      </c>
      <c r="D145" s="633">
        <f>'Pasivo a Cancelar y Deuda'!D40</f>
        <v>0</v>
      </c>
      <c r="E145" s="595">
        <f>'Pasivo a Cancelar y Deuda'!F40+'Pasivo a Cancelar y Deuda'!G40</f>
        <v>0</v>
      </c>
      <c r="F145" s="630" t="e">
        <f t="shared" si="16"/>
        <v>#DIV/0!</v>
      </c>
      <c r="G145" s="630" t="e">
        <f t="shared" si="17"/>
        <v>#DIV/0!</v>
      </c>
    </row>
    <row r="146" spans="1:11" s="524" customFormat="1" ht="15.75" customHeight="1">
      <c r="A146" s="644" t="s">
        <v>296</v>
      </c>
      <c r="B146" s="632" t="s">
        <v>297</v>
      </c>
      <c r="C146" s="633">
        <f>VLOOKUP(A146,'Pasivo a Cancelar y Deuda'!$A$85:$Q$93,LOOKUP($C$25,'Pasivo a Cancelar y Deuda'!$C$52:$Q$52,'Pasivo a Cancelar y Deuda'!$C$105:$Q$105),FALSE)</f>
        <v>0</v>
      </c>
      <c r="D146" s="633">
        <f>'Pasivo a Cancelar y Deuda'!D41</f>
        <v>0</v>
      </c>
      <c r="E146" s="595">
        <f>'Pasivo a Cancelar y Deuda'!F41+'Pasivo a Cancelar y Deuda'!G41</f>
        <v>0</v>
      </c>
      <c r="F146" s="630" t="e">
        <f t="shared" si="16"/>
        <v>#DIV/0!</v>
      </c>
      <c r="G146" s="630" t="e">
        <f t="shared" si="17"/>
        <v>#DIV/0!</v>
      </c>
    </row>
    <row r="147" spans="1:11" s="524" customFormat="1" ht="15.75" customHeight="1">
      <c r="A147" s="644" t="s">
        <v>298</v>
      </c>
      <c r="B147" s="632" t="s">
        <v>299</v>
      </c>
      <c r="C147" s="633">
        <f>VLOOKUP(A147,'Pasivo a Cancelar y Deuda'!$A$85:$Q$93,LOOKUP($C$25,'Pasivo a Cancelar y Deuda'!$C$52:$Q$52,'Pasivo a Cancelar y Deuda'!$C$105:$Q$105),FALSE)</f>
        <v>0</v>
      </c>
      <c r="D147" s="633">
        <f>'Pasivo a Cancelar y Deuda'!D42</f>
        <v>0</v>
      </c>
      <c r="E147" s="595">
        <f>'Pasivo a Cancelar y Deuda'!F42+'Pasivo a Cancelar y Deuda'!G42</f>
        <v>0</v>
      </c>
      <c r="F147" s="630" t="e">
        <f t="shared" si="16"/>
        <v>#DIV/0!</v>
      </c>
      <c r="G147" s="630" t="e">
        <f t="shared" si="17"/>
        <v>#DIV/0!</v>
      </c>
    </row>
    <row r="148" spans="1:11" s="524" customFormat="1" ht="15.75" customHeight="1">
      <c r="A148" s="644" t="s">
        <v>300</v>
      </c>
      <c r="B148" s="632" t="s">
        <v>301</v>
      </c>
      <c r="C148" s="633">
        <f>VLOOKUP(A148,'Pasivo a Cancelar y Deuda'!$A$85:$Q$93,LOOKUP($C$25,'Pasivo a Cancelar y Deuda'!$C$52:$Q$52,'Pasivo a Cancelar y Deuda'!$C$105:$Q$105),FALSE)</f>
        <v>0</v>
      </c>
      <c r="D148" s="633">
        <f>'Pasivo a Cancelar y Deuda'!D43</f>
        <v>0</v>
      </c>
      <c r="E148" s="595">
        <f>'Pasivo a Cancelar y Deuda'!F43+'Pasivo a Cancelar y Deuda'!G43</f>
        <v>0</v>
      </c>
      <c r="F148" s="630" t="e">
        <f t="shared" si="16"/>
        <v>#DIV/0!</v>
      </c>
      <c r="G148" s="630" t="e">
        <f t="shared" si="17"/>
        <v>#DIV/0!</v>
      </c>
    </row>
    <row r="149" spans="1:11" s="524" customFormat="1" ht="15.75" customHeight="1">
      <c r="A149" s="644" t="s">
        <v>302</v>
      </c>
      <c r="B149" s="645" t="s">
        <v>285</v>
      </c>
      <c r="C149" s="633">
        <f>VLOOKUP(A149,'Pasivo a Cancelar y Deuda'!$A$85:$Q$93,LOOKUP($C$25,'Pasivo a Cancelar y Deuda'!$C$52:$Q$52,'Pasivo a Cancelar y Deuda'!$C$105:$Q$105),FALSE)</f>
        <v>0</v>
      </c>
      <c r="D149" s="633">
        <f>'Pasivo a Cancelar y Deuda'!D44</f>
        <v>0</v>
      </c>
      <c r="E149" s="595">
        <f>'Pasivo a Cancelar y Deuda'!F44+'Pasivo a Cancelar y Deuda'!G44</f>
        <v>0</v>
      </c>
      <c r="F149" s="630" t="e">
        <f t="shared" si="16"/>
        <v>#DIV/0!</v>
      </c>
      <c r="G149" s="630" t="e">
        <f t="shared" si="17"/>
        <v>#DIV/0!</v>
      </c>
    </row>
    <row r="150" spans="1:11" s="524" customFormat="1" ht="15.75" customHeight="1">
      <c r="A150" s="644" t="s">
        <v>303</v>
      </c>
      <c r="B150" s="645" t="s">
        <v>287</v>
      </c>
      <c r="C150" s="633">
        <f>VLOOKUP(A150,'Pasivo a Cancelar y Deuda'!$A$85:$Q$93,LOOKUP($C$25,'Pasivo a Cancelar y Deuda'!$C$52:$Q$52,'Pasivo a Cancelar y Deuda'!$C$105:$Q$105),FALSE)</f>
        <v>0</v>
      </c>
      <c r="D150" s="633">
        <f>'Pasivo a Cancelar y Deuda'!D45</f>
        <v>0</v>
      </c>
      <c r="E150" s="595">
        <f>'Pasivo a Cancelar y Deuda'!F45+'Pasivo a Cancelar y Deuda'!G45</f>
        <v>0</v>
      </c>
      <c r="F150" s="630" t="e">
        <f t="shared" si="16"/>
        <v>#DIV/0!</v>
      </c>
      <c r="G150" s="630" t="e">
        <f t="shared" si="17"/>
        <v>#DIV/0!</v>
      </c>
    </row>
    <row r="151" spans="1:11" s="524" customFormat="1" ht="15.75" customHeight="1">
      <c r="A151" s="644" t="s">
        <v>304</v>
      </c>
      <c r="B151" s="645" t="s">
        <v>289</v>
      </c>
      <c r="C151" s="633">
        <f>VLOOKUP(A151,'Pasivo a Cancelar y Deuda'!$A$85:$Q$93,LOOKUP($C$25,'Pasivo a Cancelar y Deuda'!$C$52:$Q$52,'Pasivo a Cancelar y Deuda'!$C$105:$Q$105),FALSE)</f>
        <v>0</v>
      </c>
      <c r="D151" s="633">
        <f>'Pasivo a Cancelar y Deuda'!D46</f>
        <v>0</v>
      </c>
      <c r="E151" s="595">
        <f>'Pasivo a Cancelar y Deuda'!F46+'Pasivo a Cancelar y Deuda'!G46</f>
        <v>0</v>
      </c>
      <c r="F151" s="630" t="e">
        <f t="shared" si="16"/>
        <v>#DIV/0!</v>
      </c>
      <c r="G151" s="630" t="e">
        <f t="shared" si="17"/>
        <v>#DIV/0!</v>
      </c>
    </row>
    <row r="152" spans="1:11" s="524" customFormat="1" ht="15.75" customHeight="1" thickBot="1">
      <c r="A152" s="648" t="s">
        <v>517</v>
      </c>
      <c r="B152" s="649" t="s">
        <v>518</v>
      </c>
      <c r="C152" s="650" t="e">
        <f>+C140-C143</f>
        <v>#REF!</v>
      </c>
      <c r="D152" s="651" t="e">
        <f>+D140-D143</f>
        <v>#REF!</v>
      </c>
      <c r="E152" s="572" t="e">
        <f>+E140-E143</f>
        <v>#REF!</v>
      </c>
      <c r="F152" s="652" t="e">
        <f>+E152/D152</f>
        <v>#REF!</v>
      </c>
      <c r="G152" s="652" t="e">
        <f t="shared" si="17"/>
        <v>#REF!</v>
      </c>
    </row>
    <row r="153" spans="1:11" s="524" customFormat="1" ht="15.75" customHeight="1">
      <c r="A153" s="653" t="s">
        <v>519</v>
      </c>
      <c r="B153" s="654" t="s">
        <v>520</v>
      </c>
      <c r="C153" s="655"/>
      <c r="D153" s="656"/>
      <c r="E153" s="656"/>
      <c r="F153" s="657"/>
      <c r="G153" s="657"/>
    </row>
    <row r="154" spans="1:11" s="524" customFormat="1" ht="15.75" customHeight="1">
      <c r="A154" s="658" t="s">
        <v>521</v>
      </c>
      <c r="B154" s="659" t="s">
        <v>388</v>
      </c>
      <c r="C154" s="660" t="e">
        <f>+C155</f>
        <v>#REF!</v>
      </c>
      <c r="D154" s="661" t="e">
        <f>+D155</f>
        <v>#REF!</v>
      </c>
      <c r="E154" s="661" t="e">
        <f>+E155</f>
        <v>#REF!</v>
      </c>
      <c r="F154" s="662" t="e">
        <f>+E154/D154</f>
        <v>#REF!</v>
      </c>
      <c r="G154" s="662" t="e">
        <f>+E154/C154</f>
        <v>#REF!</v>
      </c>
    </row>
    <row r="155" spans="1:11" s="524" customFormat="1" ht="15.75" customHeight="1">
      <c r="A155" s="663" t="s">
        <v>517</v>
      </c>
      <c r="B155" s="664" t="s">
        <v>522</v>
      </c>
      <c r="C155" s="665" t="e">
        <f>+C152</f>
        <v>#REF!</v>
      </c>
      <c r="D155" s="666" t="e">
        <f>+D152</f>
        <v>#REF!</v>
      </c>
      <c r="E155" s="666" t="e">
        <f>+E152</f>
        <v>#REF!</v>
      </c>
      <c r="F155" s="667" t="e">
        <f>+E155/D155</f>
        <v>#REF!</v>
      </c>
      <c r="G155" s="667" t="e">
        <f>+E155/C155</f>
        <v>#REF!</v>
      </c>
    </row>
    <row r="156" spans="1:11" s="524" customFormat="1" ht="15.75" customHeight="1">
      <c r="A156" s="668" t="s">
        <v>3</v>
      </c>
      <c r="B156" s="669" t="s">
        <v>523</v>
      </c>
      <c r="C156" s="660" t="e">
        <f>+Gastos!D201</f>
        <v>#N/A</v>
      </c>
      <c r="D156" s="660">
        <f>+Gastos!G201</f>
        <v>0</v>
      </c>
      <c r="E156" s="660">
        <f>+Gastos!J201</f>
        <v>0</v>
      </c>
      <c r="F156" s="662" t="e">
        <f>+E156/D156</f>
        <v>#DIV/0!</v>
      </c>
      <c r="G156" s="662" t="e">
        <f>+E156/C156</f>
        <v>#N/A</v>
      </c>
    </row>
    <row r="157" spans="1:11" s="524" customFormat="1" ht="15.75" customHeight="1" thickBot="1">
      <c r="A157" s="670" t="s">
        <v>524</v>
      </c>
      <c r="B157" s="671" t="s">
        <v>525</v>
      </c>
      <c r="C157" s="672" t="e">
        <f>+C154-C156</f>
        <v>#REF!</v>
      </c>
      <c r="D157" s="673" t="e">
        <f>+D154-D156</f>
        <v>#REF!</v>
      </c>
      <c r="E157" s="673" t="e">
        <f>+E154-E156</f>
        <v>#REF!</v>
      </c>
      <c r="F157" s="674" t="e">
        <f>+E157/D157</f>
        <v>#REF!</v>
      </c>
      <c r="G157" s="674" t="e">
        <f>+E157/C157</f>
        <v>#REF!</v>
      </c>
      <c r="H157" s="529"/>
      <c r="I157" s="529"/>
      <c r="J157" s="529"/>
      <c r="K157" s="529"/>
    </row>
    <row r="158" spans="1:11" s="524" customFormat="1" ht="15.75" customHeight="1" thickBot="1">
      <c r="A158" s="675" t="s">
        <v>526</v>
      </c>
      <c r="B158" s="617" t="s">
        <v>543</v>
      </c>
      <c r="C158" s="676" t="e">
        <f>+C126+C157</f>
        <v>#REF!</v>
      </c>
      <c r="D158" s="618" t="e">
        <f>+D126+D157</f>
        <v>#REF!</v>
      </c>
      <c r="E158" s="618" t="e">
        <f>+E126+E157</f>
        <v>#REF!</v>
      </c>
      <c r="F158" s="619" t="e">
        <f>+E158/D158</f>
        <v>#REF!</v>
      </c>
      <c r="G158" s="619" t="e">
        <f>+E158/C158</f>
        <v>#REF!</v>
      </c>
      <c r="H158" s="529"/>
      <c r="I158" s="529"/>
      <c r="J158" s="529"/>
      <c r="K158" s="529"/>
    </row>
    <row r="159" spans="1:11" s="524" customFormat="1" ht="15.75" customHeight="1">
      <c r="B159" s="524" t="s">
        <v>544</v>
      </c>
      <c r="C159" s="529"/>
      <c r="D159" s="529"/>
    </row>
    <row r="160" spans="1:11">
      <c r="E160" s="480"/>
    </row>
    <row r="161" spans="3:3" hidden="1"/>
    <row r="162" spans="3:3" hidden="1"/>
    <row r="163" spans="3:3" hidden="1">
      <c r="C163" s="916"/>
    </row>
    <row r="164" spans="3:3" hidden="1"/>
    <row r="165" spans="3:3" hidden="1"/>
    <row r="166" spans="3:3" hidden="1"/>
    <row r="167" spans="3:3" hidden="1"/>
    <row r="168" spans="3:3" hidden="1"/>
    <row r="169" spans="3:3" hidden="1"/>
    <row r="170" spans="3:3" hidden="1"/>
    <row r="171" spans="3:3" hidden="1"/>
    <row r="172" spans="3:3" hidden="1"/>
    <row r="173" spans="3:3" hidden="1"/>
    <row r="174" spans="3:3" hidden="1"/>
    <row r="175" spans="3:3" hidden="1"/>
    <row r="176" spans="3:3" hidden="1"/>
    <row r="177" spans="1:7" ht="15.75" thickBot="1"/>
    <row r="178" spans="1:7" ht="45.75" thickBot="1">
      <c r="A178" s="923"/>
      <c r="B178" s="938" t="s">
        <v>545</v>
      </c>
      <c r="C178" s="932" t="str">
        <f>+C25</f>
        <v>Escenario Financiero Año 2005</v>
      </c>
      <c r="D178" s="932" t="str">
        <f>+D25</f>
        <v>Presupuesto Definitivo    (2)</v>
      </c>
      <c r="E178" s="933" t="str">
        <f>+E25</f>
        <v xml:space="preserve">Ejecución  al mes            </v>
      </c>
      <c r="F178" s="923"/>
      <c r="G178" s="923"/>
    </row>
    <row r="179" spans="1:7" ht="15.75" thickBot="1">
      <c r="A179" s="926" t="s">
        <v>546</v>
      </c>
      <c r="B179" s="934" t="s">
        <v>547</v>
      </c>
      <c r="C179" s="935" t="e">
        <f>SUM(C180:C189)</f>
        <v>#REF!</v>
      </c>
      <c r="D179" s="935" t="e">
        <f>SUM(D180:D189)</f>
        <v>#REF!</v>
      </c>
      <c r="E179" s="935" t="e">
        <f>SUM(E180:E189)</f>
        <v>#REF!</v>
      </c>
    </row>
    <row r="180" spans="1:7" ht="15.75" thickBot="1">
      <c r="A180" s="927" t="s">
        <v>548</v>
      </c>
      <c r="B180" s="937" t="s">
        <v>549</v>
      </c>
      <c r="C180" s="936" t="e">
        <f>((SUM($C$30:$C$35)+$C$37)*(VLOOKUP(A180,'Ingresos Proyecciones'!$A$148:$P$166,LOOKUP($C$25,'Ingresos Proyecciones'!$C$9:$P$9,'Ingresos Proyecciones'!$C$178:$P$178),FALSE)))</f>
        <v>#REF!</v>
      </c>
      <c r="D180" s="936" t="e">
        <f>((SUM($D$30:$D$35)+$D$37)*(VLOOKUP(A180,'Ingresos Proyecciones'!$A$148:$P$166,LOOKUP($C$25,'Ingresos Proyecciones'!$C$9:$P$9,'Ingresos Proyecciones'!$C$178:$P$178),FALSE)))</f>
        <v>#REF!</v>
      </c>
      <c r="E180" s="936" t="e">
        <f>((SUM($E$30:$E$35)+$E$37)*(VLOOKUP(A180,'Ingresos Proyecciones'!$A$148:$P$166,LOOKUP($C$25,'Ingresos Proyecciones'!$C$9:$P$9,'Ingresos Proyecciones'!$C$178:$P$178),FALSE)))</f>
        <v>#REF!</v>
      </c>
    </row>
    <row r="181" spans="1:7" ht="15.75" thickBot="1">
      <c r="A181" s="928" t="s">
        <v>812</v>
      </c>
      <c r="B181" s="937" t="s">
        <v>358</v>
      </c>
      <c r="C181" s="936" t="e">
        <f>+(SUM($C$30:$C$35)*(VLOOKUP(A181,'Ingresos Proyecciones'!$A$148:$P$166,LOOKUP($C$25,'Ingresos Proyecciones'!$C$9:$P$9,'Ingresos Proyecciones'!$C$178:$P$178),FALSE)))</f>
        <v>#REF!</v>
      </c>
      <c r="D181" s="936" t="e">
        <f>+(SUM($D$30:$D$35)*(VLOOKUP(A181,'Ingresos Proyecciones'!$A$148:$P$166,LOOKUP($C$25,'Ingresos Proyecciones'!$C$9:$P$9,'Ingresos Proyecciones'!$C$178:$P$178),FALSE)))</f>
        <v>#REF!</v>
      </c>
      <c r="E181" s="936" t="e">
        <f>+(SUM($E$30:$E$35)*(VLOOKUP(A181,'Ingresos Proyecciones'!$A$148:$P$166,LOOKUP($C$25,'Ingresos Proyecciones'!$C$9:$P$9,'Ingresos Proyecciones'!$C$178:$P$178),FALSE)))</f>
        <v>#REF!</v>
      </c>
    </row>
    <row r="182" spans="1:7" ht="15.75" thickBot="1">
      <c r="A182" s="405" t="s">
        <v>814</v>
      </c>
      <c r="B182" s="937" t="s">
        <v>360</v>
      </c>
      <c r="C182" s="936">
        <f>+('Fuentes y Usos Seguimiento'!$C$30*(VLOOKUP(A182,'Ingresos Proyecciones'!$A$148:$P$166,LOOKUP($C$25,'Ingresos Proyecciones'!$C$9:$P$9,'Ingresos Proyecciones'!$C$178:$P$178),FALSE)))</f>
        <v>0</v>
      </c>
      <c r="D182" s="936">
        <f>+('Fuentes y Usos Seguimiento'!$D$30*(VLOOKUP(A182,'Ingresos Proyecciones'!$A$148:$P$166,LOOKUP($C$25,'Ingresos Proyecciones'!$C$9:$P$9,'Ingresos Proyecciones'!$C$178:$P$178),FALSE)))</f>
        <v>0</v>
      </c>
      <c r="E182" s="936">
        <f>+('Fuentes y Usos Seguimiento'!$E$30*(VLOOKUP(A182,'Ingresos Proyecciones'!$A$148:$P$166,LOOKUP($C$25,'Ingresos Proyecciones'!$C$9:$P$9,'Ingresos Proyecciones'!$C$178:$P$178),FALSE)))</f>
        <v>0</v>
      </c>
    </row>
    <row r="183" spans="1:7" ht="15.75" thickBot="1">
      <c r="A183" s="405" t="s">
        <v>361</v>
      </c>
      <c r="B183" s="937" t="s">
        <v>819</v>
      </c>
      <c r="C183" s="936">
        <f>(('Fuentes y Usos Seguimiento'!$C$31*(VLOOKUP(A183,'Ingresos Proyecciones'!$A$148:$P$166,LOOKUP($C$25,'Ingresos Proyecciones'!$C$9:$P$9,'Ingresos Proyecciones'!$C$178:$P$178),FALSE))))</f>
        <v>0</v>
      </c>
      <c r="D183" s="936">
        <f>(('Fuentes y Usos Seguimiento'!$D$31*(VLOOKUP(A183,'Ingresos Proyecciones'!$A$148:$P$166,LOOKUP($C$25,'Ingresos Proyecciones'!$C$9:$P$9,'Ingresos Proyecciones'!$C$178:$P$178),FALSE))))</f>
        <v>0</v>
      </c>
      <c r="E183" s="936">
        <f>(('Fuentes y Usos Seguimiento'!$E$31*(VLOOKUP(A183,'Ingresos Proyecciones'!$A$148:$P$166,LOOKUP($C$25,'Ingresos Proyecciones'!$C$9:$P$9,'Ingresos Proyecciones'!$C$178:$P$178),FALSE))))</f>
        <v>0</v>
      </c>
    </row>
    <row r="184" spans="1:7" ht="15.75" thickBot="1">
      <c r="A184" s="405" t="s">
        <v>820</v>
      </c>
      <c r="B184" s="937" t="s">
        <v>821</v>
      </c>
      <c r="C184" s="936">
        <f>(('Fuentes y Usos Seguimiento'!$C$32*(VLOOKUP(A184,'Ingresos Proyecciones'!$A$148:$P$166,LOOKUP($C$25,'Ingresos Proyecciones'!$C$9:$P$9,'Ingresos Proyecciones'!$C$178:$P$178),FALSE))))</f>
        <v>0</v>
      </c>
      <c r="D184" s="936">
        <f>(('Fuentes y Usos Seguimiento'!$D$32*(VLOOKUP(A184,'Ingresos Proyecciones'!$A$148:$P$166,LOOKUP($C$25,'Ingresos Proyecciones'!$C$9:$P$9,'Ingresos Proyecciones'!$C$178:$P$178),FALSE))))</f>
        <v>0</v>
      </c>
      <c r="E184" s="936">
        <f>(('Fuentes y Usos Seguimiento'!$E$32*(VLOOKUP(A184,'Ingresos Proyecciones'!$A$148:$P$166,LOOKUP($C$25,'Ingresos Proyecciones'!$C$9:$P$9,'Ingresos Proyecciones'!$C$178:$P$178),FALSE))))</f>
        <v>0</v>
      </c>
    </row>
    <row r="185" spans="1:7" ht="15.75" thickBot="1">
      <c r="A185" s="929" t="s">
        <v>822</v>
      </c>
      <c r="B185" s="937" t="s">
        <v>823</v>
      </c>
      <c r="C185" s="936">
        <f>+('Fuentes y Usos Seguimiento'!$C$33*(VLOOKUP(A185,'Ingresos Proyecciones'!$A$148:$P$166,LOOKUP($C$25,'Ingresos Proyecciones'!$C$9:$P$9,'Ingresos Proyecciones'!$C$178:$P$178),FALSE)))</f>
        <v>0</v>
      </c>
      <c r="D185" s="936">
        <f>+('Fuentes y Usos Seguimiento'!$D$33*(VLOOKUP(A185,'Ingresos Proyecciones'!$A$148:$P$166,LOOKUP($C$25,'Ingresos Proyecciones'!$C$9:$P$9,'Ingresos Proyecciones'!$C$178:$P$178),FALSE)))</f>
        <v>0</v>
      </c>
      <c r="E185" s="936">
        <f>+('Fuentes y Usos Seguimiento'!$E$33*(VLOOKUP(A185,'Ingresos Proyecciones'!$A$148:$P$166,LOOKUP($C$25,'Ingresos Proyecciones'!$C$9:$P$9,'Ingresos Proyecciones'!$C$178:$P$178),FALSE)))</f>
        <v>0</v>
      </c>
    </row>
    <row r="186" spans="1:7" ht="15.75" thickBot="1">
      <c r="A186" s="405" t="s">
        <v>833</v>
      </c>
      <c r="B186" s="937" t="s">
        <v>550</v>
      </c>
      <c r="C186" s="936" t="e">
        <f>+(('Fuentes y Usos Seguimiento'!$C$34*(VLOOKUP(A186,'Ingresos Proyecciones'!$A$148:$P$166,LOOKUP($C$25,'Ingresos Proyecciones'!$C$9:$P$9,'Ingresos Proyecciones'!$C$178:$P$178),FALSE))))</f>
        <v>#REF!</v>
      </c>
      <c r="D186" s="936" t="e">
        <f>+(('Fuentes y Usos Seguimiento'!$D$34*(VLOOKUP(A186,'Ingresos Proyecciones'!$A$148:$P$166,LOOKUP($C$25,'Ingresos Proyecciones'!$C$9:$P$9,'Ingresos Proyecciones'!$C$178:$P$178),FALSE))))</f>
        <v>#REF!</v>
      </c>
      <c r="E186" s="936" t="e">
        <f>+(('Fuentes y Usos Seguimiento'!$E$34*(VLOOKUP(A186,'Ingresos Proyecciones'!$A$148:$P$166,LOOKUP($C$25,'Ingresos Proyecciones'!$C$9:$P$9,'Ingresos Proyecciones'!$C$178:$P$178),FALSE))))</f>
        <v>#REF!</v>
      </c>
    </row>
    <row r="187" spans="1:7" ht="15.75" thickBot="1">
      <c r="A187" s="927" t="s">
        <v>847</v>
      </c>
      <c r="B187" s="937" t="s">
        <v>551</v>
      </c>
      <c r="C187" s="936" t="e">
        <f>+(('Fuentes y Usos Seguimiento'!$C$35*(VLOOKUP(A187,'Ingresos Proyecciones'!$A$148:$P$166,LOOKUP($C$25,'Ingresos Proyecciones'!$C$9:$P$9,'Ingresos Proyecciones'!$C$178:$P$178),FALSE))))</f>
        <v>#REF!</v>
      </c>
      <c r="D187" s="936" t="e">
        <f>+(('Fuentes y Usos Seguimiento'!$D$35*(VLOOKUP(A187,'Ingresos Proyecciones'!$A$148:$P$166,LOOKUP($C$25,'Ingresos Proyecciones'!$C$9:$P$9,'Ingresos Proyecciones'!$C$178:$P$178),FALSE))))</f>
        <v>#REF!</v>
      </c>
      <c r="E187" s="936" t="e">
        <f>+(('Fuentes y Usos Seguimiento'!$E$35*(VLOOKUP(A187,'Ingresos Proyecciones'!$A$148:$P$166,LOOKUP($C$25,'Ingresos Proyecciones'!$C$9:$P$9,'Ingresos Proyecciones'!$C$178:$P$178),FALSE))))</f>
        <v>#REF!</v>
      </c>
    </row>
    <row r="188" spans="1:7" ht="15.75" thickBot="1">
      <c r="A188" s="930" t="s">
        <v>552</v>
      </c>
      <c r="B188" s="937" t="s">
        <v>553</v>
      </c>
      <c r="C188" s="948">
        <f>(VLOOKUP(A188,'Ingresos Proyecciones'!$A$148:$P$166,LOOKUP($C$25,'Ingresos Proyecciones'!$C$9:$P$9,'Ingresos Proyecciones'!$C$178:$P$178),FALSE))</f>
        <v>0</v>
      </c>
      <c r="D188" s="948">
        <f>(VLOOKUP(A188,'Ingresos Proyecciones'!$A$148:$P$166,LOOKUP($C$25,'Ingresos Proyecciones'!$C$9:$P$9,'Ingresos Proyecciones'!$C$178:$P$178),FALSE))</f>
        <v>0</v>
      </c>
      <c r="E188" s="948">
        <f>(VLOOKUP(A188,'Ingresos Proyecciones'!$A$148:$P$166,LOOKUP($C$25,'Ingresos Proyecciones'!$C$9:$P$9,'Ingresos Proyecciones'!$C$178:$P$178),FALSE))</f>
        <v>0</v>
      </c>
    </row>
    <row r="189" spans="1:7" ht="15.75" thickBot="1">
      <c r="A189" s="931" t="s">
        <v>554</v>
      </c>
      <c r="B189" s="937" t="s">
        <v>555</v>
      </c>
      <c r="C189" s="948">
        <f>(VLOOKUP(A189,'Ingresos Proyecciones'!$A$148:$P$166,LOOKUP($C$25,'Ingresos Proyecciones'!$C$9:$P$9,'Ingresos Proyecciones'!$C$178:$P$178),FALSE))</f>
        <v>0</v>
      </c>
      <c r="D189" s="948">
        <f>(VLOOKUP(A189,'Ingresos Proyecciones'!$A$148:$P$166,LOOKUP($C$25,'Ingresos Proyecciones'!$C$9:$P$9,'Ingresos Proyecciones'!$C$178:$P$178),FALSE))</f>
        <v>0</v>
      </c>
      <c r="E189" s="948">
        <f>(VLOOKUP(A189,'Ingresos Proyecciones'!$A$148:$P$166,LOOKUP($C$25,'Ingresos Proyecciones'!$C$9:$P$9,'Ingresos Proyecciones'!$C$178:$P$178),FALSE))</f>
        <v>0</v>
      </c>
    </row>
    <row r="191" spans="1:7">
      <c r="B191" s="957"/>
      <c r="C191" s="957"/>
      <c r="D191" s="957"/>
      <c r="E191" s="958"/>
      <c r="F191" s="958"/>
      <c r="G191" s="958"/>
    </row>
  </sheetData>
  <phoneticPr fontId="33" type="noConversion"/>
  <printOptions horizontalCentered="1" verticalCentered="1"/>
  <pageMargins left="0.19685039370078741" right="0.19685039370078741" top="0.39370078740157483" bottom="0.56999999999999995" header="0.19685039370078741" footer="0.19685039370078741"/>
  <pageSetup scale="63" orientation="portrait" r:id="rId1"/>
  <headerFooter alignWithMargins="0">
    <oddHeader>&amp;C&amp;"Arial,Negrita"&amp;12&amp;F</oddHeader>
    <oddFooter>&amp;L&amp;"Arial,Negrita"&amp;F &amp;A&amp;R&amp;"Arial,Negrita"Página &amp;P de &amp;N</oddFooter>
  </headerFooter>
  <colBreaks count="1" manualBreakCount="1">
    <brk id="7" max="1048575" man="1"/>
  </colBreaks>
  <legacyDrawing r:id="rId2"/>
</worksheet>
</file>

<file path=xl/worksheets/sheet11.xml><?xml version="1.0" encoding="utf-8"?>
<worksheet xmlns="http://schemas.openxmlformats.org/spreadsheetml/2006/main" xmlns:r="http://schemas.openxmlformats.org/officeDocument/2006/relationships">
  <sheetPr codeName="Hoja11"/>
  <dimension ref="A1:IS159"/>
  <sheetViews>
    <sheetView topLeftCell="A50" zoomScale="80" zoomScaleNormal="80" workbookViewId="0">
      <selection activeCell="C67" sqref="C67"/>
    </sheetView>
  </sheetViews>
  <sheetFormatPr baseColWidth="10" defaultRowHeight="11.25"/>
  <cols>
    <col min="1" max="1" width="11.42578125" style="221"/>
    <col min="2" max="2" width="64.7109375" style="221" customWidth="1"/>
    <col min="3" max="4" width="16.28515625" style="221" customWidth="1"/>
    <col min="5" max="5" width="13.28515625" style="221" customWidth="1"/>
    <col min="6" max="6" width="16.7109375" style="221" bestFit="1" customWidth="1"/>
    <col min="7" max="7" width="10.85546875" style="221" bestFit="1" customWidth="1"/>
    <col min="8" max="8" width="15.140625" style="221" bestFit="1" customWidth="1"/>
    <col min="9" max="9" width="12.28515625" style="221" bestFit="1" customWidth="1"/>
    <col min="10" max="252" width="11.42578125" style="221"/>
    <col min="253" max="253" width="0" style="221" hidden="1" customWidth="1"/>
    <col min="254" max="16384" width="11.42578125" style="221"/>
  </cols>
  <sheetData>
    <row r="1" spans="1:5">
      <c r="B1" s="297" t="s">
        <v>574</v>
      </c>
      <c r="C1" s="298"/>
      <c r="D1" s="709" t="str">
        <f>+Ingresos!B8</f>
        <v>MUNICIPIO DE LA VEGA</v>
      </c>
    </row>
    <row r="2" spans="1:5">
      <c r="B2" s="297" t="s">
        <v>27</v>
      </c>
      <c r="C2" s="298"/>
    </row>
    <row r="3" spans="1:5" ht="12" thickBot="1">
      <c r="B3" s="222"/>
      <c r="C3" s="223">
        <v>1</v>
      </c>
      <c r="D3" s="224">
        <v>1</v>
      </c>
    </row>
    <row r="4" spans="1:5" ht="24.75" customHeight="1" thickBot="1">
      <c r="B4" s="225" t="s">
        <v>32</v>
      </c>
      <c r="C4" s="226">
        <f>+D4-1</f>
        <v>2004</v>
      </c>
      <c r="D4" s="226">
        <f>+Ingresos!B10</f>
        <v>2005</v>
      </c>
    </row>
    <row r="5" spans="1:5" ht="12.75" customHeight="1" thickBot="1">
      <c r="A5" s="411" t="s">
        <v>164</v>
      </c>
      <c r="B5" s="227" t="s">
        <v>575</v>
      </c>
      <c r="C5" s="829"/>
      <c r="D5" s="228" t="e">
        <f>+'Ley 617'!$F$59</f>
        <v>#REF!</v>
      </c>
      <c r="E5" s="907"/>
    </row>
    <row r="6" spans="1:5" ht="12.75" customHeight="1">
      <c r="A6" s="221" t="s">
        <v>1066</v>
      </c>
      <c r="B6" s="227" t="s">
        <v>576</v>
      </c>
      <c r="C6" s="830"/>
      <c r="D6" s="229">
        <f>+'Ley 617'!$F$70</f>
        <v>0</v>
      </c>
    </row>
    <row r="7" spans="1:5">
      <c r="A7" s="221" t="s">
        <v>577</v>
      </c>
      <c r="B7" s="227" t="s">
        <v>578</v>
      </c>
      <c r="C7" s="230" t="e">
        <f>+C6/C5</f>
        <v>#DIV/0!</v>
      </c>
      <c r="D7" s="230" t="e">
        <f>+D6/D5</f>
        <v>#REF!</v>
      </c>
    </row>
    <row r="8" spans="1:5">
      <c r="A8" s="221" t="s">
        <v>579</v>
      </c>
      <c r="B8" s="227" t="s">
        <v>580</v>
      </c>
      <c r="C8" s="231">
        <f>+IF(C4&gt;=2004,VLOOKUP((2004*10)+C16,E110:F116,2),IF(C4&lt;2001,VLOOKUP((2001*10)+C16,E89:F95,2),IF(OR(C4=2001,C4=2002,C4=2003,C4=2004),VLOOKUP((C4*10)+C16,E89:F116,2))))</f>
        <v>0.5</v>
      </c>
      <c r="D8" s="231">
        <f>+IF(D4&gt;=2004,VLOOKUP((2004*10)+D16,E110:F116,2),IF(D4&lt;2001,VLOOKUP((2001*10)+D16,E89:F95,2),IF(OR(D4=2001,D4=2002,D4=2003,D4=2004),VLOOKUP((D4*10)+D16,E89:F116,2))))</f>
        <v>0.5</v>
      </c>
      <c r="E8" s="706"/>
    </row>
    <row r="9" spans="1:5" ht="12.75" customHeight="1" thickBot="1">
      <c r="A9" s="221" t="s">
        <v>581</v>
      </c>
      <c r="B9" s="232" t="s">
        <v>582</v>
      </c>
      <c r="C9" s="233" t="e">
        <f>+C7-C8</f>
        <v>#DIV/0!</v>
      </c>
      <c r="D9" s="233" t="e">
        <f>+D7-D8</f>
        <v>#REF!</v>
      </c>
    </row>
    <row r="10" spans="1:5" ht="12.75" customHeight="1">
      <c r="B10" s="299"/>
      <c r="C10" s="299"/>
    </row>
    <row r="11" spans="1:5" ht="12.75" customHeight="1">
      <c r="B11" s="300"/>
      <c r="C11" s="301"/>
    </row>
    <row r="12" spans="1:5" ht="6" customHeight="1"/>
    <row r="13" spans="1:5" ht="6" customHeight="1" thickBot="1">
      <c r="B13" s="234"/>
      <c r="C13" s="235"/>
    </row>
    <row r="14" spans="1:5" ht="27" customHeight="1" thickBot="1">
      <c r="B14" s="242" t="s">
        <v>583</v>
      </c>
      <c r="C14" s="226">
        <f>+C4</f>
        <v>2004</v>
      </c>
      <c r="D14" s="226">
        <f>+D4</f>
        <v>2005</v>
      </c>
    </row>
    <row r="15" spans="1:5" ht="12" thickBot="1">
      <c r="B15" s="295"/>
      <c r="C15" s="296"/>
    </row>
    <row r="16" spans="1:5">
      <c r="B16" s="237" t="s">
        <v>343</v>
      </c>
      <c r="C16" s="828"/>
      <c r="D16" s="834"/>
    </row>
    <row r="17" spans="1:6">
      <c r="B17" s="238" t="s">
        <v>584</v>
      </c>
      <c r="C17" s="831"/>
      <c r="D17" s="831"/>
    </row>
    <row r="18" spans="1:6">
      <c r="B18" s="238" t="s">
        <v>585</v>
      </c>
      <c r="C18" s="831"/>
      <c r="D18" s="831"/>
    </row>
    <row r="19" spans="1:6">
      <c r="B19" s="238" t="s">
        <v>586</v>
      </c>
      <c r="C19" s="832"/>
      <c r="D19" s="832"/>
    </row>
    <row r="20" spans="1:6" ht="12" thickBot="1">
      <c r="B20" s="239" t="s">
        <v>587</v>
      </c>
      <c r="C20" s="833"/>
      <c r="D20" s="833"/>
    </row>
    <row r="21" spans="1:6" ht="27.75" customHeight="1">
      <c r="B21" s="297" t="str">
        <f>+B1</f>
        <v xml:space="preserve">Municipio de </v>
      </c>
      <c r="C21" s="298"/>
      <c r="D21" s="709" t="str">
        <f>+D1</f>
        <v>MUNICIPIO DE LA VEGA</v>
      </c>
    </row>
    <row r="22" spans="1:6" ht="12" thickBot="1">
      <c r="B22" s="240"/>
      <c r="C22" s="240"/>
    </row>
    <row r="23" spans="1:6" ht="12" thickBot="1">
      <c r="B23" s="241" t="s">
        <v>348</v>
      </c>
      <c r="C23" s="240"/>
      <c r="D23" s="959" t="s">
        <v>625</v>
      </c>
    </row>
    <row r="24" spans="1:6" ht="27.75" customHeight="1" thickBot="1">
      <c r="B24" s="242" t="s">
        <v>588</v>
      </c>
      <c r="C24" s="226">
        <f>+C4</f>
        <v>2004</v>
      </c>
      <c r="D24" s="226">
        <f>+D4</f>
        <v>2005</v>
      </c>
    </row>
    <row r="25" spans="1:6" s="244" customFormat="1" ht="12.75" customHeight="1">
      <c r="A25" s="412" t="s">
        <v>39</v>
      </c>
      <c r="B25" s="243" t="s">
        <v>589</v>
      </c>
      <c r="C25" s="830"/>
      <c r="D25" s="229">
        <f>+Gastos!J225</f>
        <v>0</v>
      </c>
    </row>
    <row r="26" spans="1:6" s="244" customFormat="1" ht="12.75" customHeight="1">
      <c r="A26" s="244" t="s">
        <v>590</v>
      </c>
      <c r="B26" s="243" t="s">
        <v>591</v>
      </c>
      <c r="C26" s="229">
        <f>SUM(C27:C28)</f>
        <v>0</v>
      </c>
      <c r="D26" s="229">
        <f>SUM(D27:D28)</f>
        <v>0</v>
      </c>
    </row>
    <row r="27" spans="1:6" s="244" customFormat="1" ht="12.75" customHeight="1">
      <c r="A27" s="244" t="s">
        <v>592</v>
      </c>
      <c r="B27" s="243" t="s">
        <v>593</v>
      </c>
      <c r="C27" s="229">
        <f>+C17*C18*C19</f>
        <v>0</v>
      </c>
      <c r="D27" s="229">
        <f>+D17*D18*D19</f>
        <v>0</v>
      </c>
    </row>
    <row r="28" spans="1:6" s="244" customFormat="1" ht="12.75" customHeight="1">
      <c r="A28" s="244" t="s">
        <v>594</v>
      </c>
      <c r="B28" s="718" t="e">
        <f>+D28/D5</f>
        <v>#REF!</v>
      </c>
      <c r="C28" s="830"/>
      <c r="D28" s="229">
        <f>IF(AND(C5&lt;=1000,D23="60 SMLV"),D20*60,(IF(D4&gt;=2004,VLOOKUP((2004*10)+D16,E110:G116,3),IF(D4&lt;2001,VLOOKUP((2001*10)+D16,E89:G95,3),IF(OR(D4=2001,D4=2002,D4=2003,D4=2004),VLOOKUP((D4*10)+D16,E89:G116,3)))))*$D$5)</f>
        <v>0</v>
      </c>
      <c r="E28" s="908"/>
      <c r="F28" s="722"/>
    </row>
    <row r="29" spans="1:6" ht="12.75" customHeight="1" thickBot="1">
      <c r="A29" s="221" t="s">
        <v>595</v>
      </c>
      <c r="B29" s="245" t="s">
        <v>582</v>
      </c>
      <c r="C29" s="246">
        <f>+C25-C26</f>
        <v>0</v>
      </c>
      <c r="D29" s="246">
        <f>+D25-D26</f>
        <v>0</v>
      </c>
      <c r="E29" s="909"/>
    </row>
    <row r="33" spans="1:253" ht="12" thickBot="1">
      <c r="B33" s="297" t="str">
        <f>+B1</f>
        <v xml:space="preserve">Municipio de </v>
      </c>
      <c r="C33" s="298"/>
      <c r="D33" s="709" t="str">
        <f>+D1</f>
        <v>MUNICIPIO DE LA VEGA</v>
      </c>
    </row>
    <row r="34" spans="1:253" ht="12" thickBot="1">
      <c r="B34" s="240"/>
      <c r="C34" s="720"/>
      <c r="D34" s="720" t="s">
        <v>1053</v>
      </c>
      <c r="E34" s="710" t="s">
        <v>596</v>
      </c>
      <c r="F34" s="704"/>
      <c r="IS34" s="704" t="s">
        <v>1051</v>
      </c>
    </row>
    <row r="35" spans="1:253" ht="12" thickBot="1">
      <c r="B35" s="717" t="s">
        <v>597</v>
      </c>
      <c r="C35" s="240"/>
      <c r="IS35" s="704" t="s">
        <v>1053</v>
      </c>
    </row>
    <row r="36" spans="1:253" s="244" customFormat="1" ht="31.5" customHeight="1" thickBot="1">
      <c r="B36" s="247" t="s">
        <v>598</v>
      </c>
      <c r="C36" s="226">
        <f>+C4</f>
        <v>2004</v>
      </c>
      <c r="D36" s="226">
        <f>+D4</f>
        <v>2005</v>
      </c>
    </row>
    <row r="37" spans="1:253" s="244" customFormat="1" ht="12.75" customHeight="1">
      <c r="A37" s="412" t="s">
        <v>41</v>
      </c>
      <c r="B37" s="227" t="s">
        <v>599</v>
      </c>
      <c r="C37" s="914"/>
      <c r="D37" s="249">
        <f>+Gastos!J226</f>
        <v>0</v>
      </c>
    </row>
    <row r="38" spans="1:253" s="244" customFormat="1" ht="12.75" customHeight="1">
      <c r="A38" s="244" t="s">
        <v>506</v>
      </c>
      <c r="B38" s="719" t="e">
        <f>+D38/D5</f>
        <v>#REF!</v>
      </c>
      <c r="C38" s="229">
        <f>+IF(C34="NO",0,IF(C34="SI",IF(C4&gt;=2004,VLOOKUP((2004*10)+C16,E110:H116,4),IF(C4&lt;2001,VLOOKUP((2001*10)+C16,E89:H95,4),IF(OR(C4=2001,C4=2002,C4=2003,C4=2004),VLOOKUP((C4*10)+C16,E89:H116,4)))))*$C$5)</f>
        <v>0</v>
      </c>
      <c r="D38" s="229">
        <f>IF(D34="NO",0,IF(D34="SI",IF(K108&gt;L108,L108,K108),0))</f>
        <v>0</v>
      </c>
    </row>
    <row r="39" spans="1:253" ht="12.75" customHeight="1" thickBot="1">
      <c r="A39" s="221" t="s">
        <v>600</v>
      </c>
      <c r="B39" s="232" t="s">
        <v>601</v>
      </c>
      <c r="C39" s="250">
        <f>+C37-C38</f>
        <v>0</v>
      </c>
      <c r="D39" s="250">
        <f>+D37-D38</f>
        <v>0</v>
      </c>
    </row>
    <row r="40" spans="1:253">
      <c r="B40" s="251" t="s">
        <v>602</v>
      </c>
    </row>
    <row r="41" spans="1:253" ht="3.75" customHeight="1"/>
    <row r="42" spans="1:253" ht="3.75" customHeight="1"/>
    <row r="43" spans="1:253">
      <c r="B43" s="297" t="str">
        <f>+B1</f>
        <v xml:space="preserve">Municipio de </v>
      </c>
      <c r="C43" s="298"/>
      <c r="D43" s="709" t="str">
        <f>+D1</f>
        <v>MUNICIPIO DE LA VEGA</v>
      </c>
    </row>
    <row r="45" spans="1:253" ht="12" thickBot="1">
      <c r="B45" s="241" t="s">
        <v>597</v>
      </c>
      <c r="C45" s="240"/>
    </row>
    <row r="46" spans="1:253" ht="27.75" customHeight="1" thickBot="1">
      <c r="B46" s="247" t="s">
        <v>603</v>
      </c>
      <c r="C46" s="226">
        <f>+C4</f>
        <v>2004</v>
      </c>
      <c r="D46" s="226">
        <f>+D4</f>
        <v>2005</v>
      </c>
    </row>
    <row r="47" spans="1:253">
      <c r="A47" s="413" t="s">
        <v>43</v>
      </c>
      <c r="B47" s="227" t="s">
        <v>589</v>
      </c>
      <c r="C47" s="835"/>
      <c r="D47" s="249">
        <f>+Gastos!J227</f>
        <v>0</v>
      </c>
      <c r="E47" s="723"/>
      <c r="F47" s="252"/>
    </row>
    <row r="48" spans="1:253">
      <c r="A48" s="221" t="s">
        <v>604</v>
      </c>
      <c r="B48" s="721" t="s">
        <v>605</v>
      </c>
      <c r="C48" s="249">
        <f>+IF(C16=3,C20*350,IF(C16=4,C20*280,IF(C16=5,C20*190,IF(C16=6,C20*150,(IF(C4&gt;=2004,VLOOKUP((2004*10)+C16,E110:I116,5),IF(C4&lt;2001,VLOOKUP((2001*10)+C16,E89:I95,5),IF(OR(C4=2001,C4=2002,C4=2003,C4=2004),VLOOKUP((C4*10)+C16,E89:I116,5)))))*$C$5))))</f>
        <v>0</v>
      </c>
      <c r="D48" s="229" t="e">
        <f>IF(D16=3,D20*350,IF(D16=4,D20*280,IF(D16=5,D20*190,IF(D16=6,D20*150,(IF(D4&gt;=2004,VLOOKUP((2004*10)+D16,E110:I116,5),IF(D4&lt;2001,VLOOKUP((2001*10)+D16,E89:I95,5),IF(OR(D4=2001,D4=2002,D4=2003,D4=2004),VLOOKUP((D4*10)+D16,E89:I116,5)))))*$D$5))))</f>
        <v>#REF!</v>
      </c>
      <c r="E48" s="724"/>
      <c r="F48" s="725"/>
    </row>
    <row r="49" spans="1:5" ht="12" thickBot="1">
      <c r="A49" s="221" t="s">
        <v>606</v>
      </c>
      <c r="B49" s="232" t="s">
        <v>582</v>
      </c>
      <c r="C49" s="250">
        <f>+C47-C48</f>
        <v>0</v>
      </c>
      <c r="D49" s="250" t="e">
        <f>+D47-D48</f>
        <v>#REF!</v>
      </c>
    </row>
    <row r="50" spans="1:5">
      <c r="B50" s="251" t="s">
        <v>607</v>
      </c>
    </row>
    <row r="52" spans="1:5" hidden="1"/>
    <row r="53" spans="1:5" hidden="1"/>
    <row r="55" spans="1:5">
      <c r="B55" s="297" t="s">
        <v>608</v>
      </c>
      <c r="D55" s="298" t="str">
        <f>+Ingresos!$B$8</f>
        <v>MUNICIPIO DE LA VEGA</v>
      </c>
      <c r="E55" s="253"/>
    </row>
    <row r="56" spans="1:5" ht="12" thickBot="1">
      <c r="B56" s="255" t="str">
        <f>'Capacidad de Pago'!D57</f>
        <v>(en millones de $)</v>
      </c>
      <c r="D56" s="254"/>
    </row>
    <row r="57" spans="1:5" ht="63.75" customHeight="1">
      <c r="B57" s="293" t="str">
        <f>'Capacidad de Pago'!A57</f>
        <v>CAPACIDAD DE ENDEUDAMIENTO</v>
      </c>
      <c r="C57" s="293" t="s">
        <v>609</v>
      </c>
      <c r="D57" s="293" t="s">
        <v>610</v>
      </c>
      <c r="E57" s="293" t="s">
        <v>611</v>
      </c>
    </row>
    <row r="58" spans="1:5" ht="16.5" customHeight="1" thickBot="1">
      <c r="B58" s="294"/>
      <c r="C58" s="716">
        <f>+D58-1</f>
        <v>2005</v>
      </c>
      <c r="D58" s="716">
        <f>IF(OR(Ingresos!E10=0,Ingresos!E10=4),'Cuadros para Informe Municipios'!D4+1,'Cuadros para Informe Municipios'!D4)</f>
        <v>2006</v>
      </c>
      <c r="E58" s="716">
        <f>+D58</f>
        <v>2006</v>
      </c>
    </row>
    <row r="59" spans="1:5">
      <c r="A59" s="414" t="s">
        <v>808</v>
      </c>
      <c r="B59" s="237" t="str">
        <f>'Capacidad de Pago'!B60</f>
        <v xml:space="preserve">INGRESOS CORRIENTES </v>
      </c>
      <c r="C59" s="228">
        <f>'Capacidad de Pago'!C60</f>
        <v>2620379</v>
      </c>
      <c r="D59" s="256">
        <f>'Capacidad de Pago'!D60</f>
        <v>2725194.16</v>
      </c>
      <c r="E59" s="256">
        <f>'Capacidad de Pago'!E60</f>
        <v>2725194.16</v>
      </c>
    </row>
    <row r="60" spans="1:5">
      <c r="A60" s="414" t="s">
        <v>1064</v>
      </c>
      <c r="B60" s="257" t="str">
        <f>'Capacidad de Pago'!B61</f>
        <v>GASTOS DE FUNCIONAMIENTO</v>
      </c>
      <c r="C60" s="229" t="e">
        <f>'Capacidad de Pago'!C61</f>
        <v>#N/A</v>
      </c>
      <c r="D60" s="249" t="e">
        <f>'Capacidad de Pago'!D61</f>
        <v>#N/A</v>
      </c>
      <c r="E60" s="249" t="e">
        <f>'Capacidad de Pago'!E61</f>
        <v>#N/A</v>
      </c>
    </row>
    <row r="61" spans="1:5">
      <c r="A61" s="414" t="s">
        <v>207</v>
      </c>
      <c r="B61" s="258" t="str">
        <f>'Capacidad de Pago'!B62</f>
        <v>AHORRO OPERACIONAL (1-2)</v>
      </c>
      <c r="C61" s="229" t="e">
        <f>'Capacidad de Pago'!C62</f>
        <v>#N/A</v>
      </c>
      <c r="D61" s="249" t="e">
        <f>'Capacidad de Pago'!D62</f>
        <v>#N/A</v>
      </c>
      <c r="E61" s="249" t="e">
        <f>'Capacidad de Pago'!E62</f>
        <v>#N/A</v>
      </c>
    </row>
    <row r="62" spans="1:5">
      <c r="A62" s="414" t="s">
        <v>213</v>
      </c>
      <c r="B62" s="258" t="str">
        <f>'Capacidad de Pago'!B63</f>
        <v xml:space="preserve">SALDO DEUDA CON NUEVO CREDITO </v>
      </c>
      <c r="C62" s="229">
        <f>'Capacidad de Pago'!C63</f>
        <v>0</v>
      </c>
      <c r="D62" s="249">
        <f>'Capacidad de Pago'!D63</f>
        <v>35000</v>
      </c>
      <c r="E62" s="249">
        <f>'Capacidad de Pago'!E63</f>
        <v>35000</v>
      </c>
    </row>
    <row r="63" spans="1:5" ht="12" thickBot="1">
      <c r="A63" s="414" t="s">
        <v>229</v>
      </c>
      <c r="B63" s="259" t="str">
        <f>'Capacidad de Pago'!B64</f>
        <v>INTERESES DE LA DEUDA</v>
      </c>
      <c r="C63" s="246">
        <f>'Capacidad de Pago'!C64</f>
        <v>0</v>
      </c>
      <c r="D63" s="250">
        <f>'Capacidad de Pago'!D64</f>
        <v>44000</v>
      </c>
      <c r="E63" s="250">
        <f>'Capacidad de Pago'!E64</f>
        <v>44000</v>
      </c>
    </row>
    <row r="64" spans="1:5">
      <c r="A64" s="221" t="s">
        <v>249</v>
      </c>
      <c r="B64" s="260" t="str">
        <f>'Capacidad de Pago'!B66</f>
        <v>SOLVENCIA = INTERESES / AHORRO OPERACIONAL  = ( 5 / 3 )</v>
      </c>
      <c r="C64" s="261">
        <f>'Capacidad de Pago'!C66</f>
        <v>0</v>
      </c>
      <c r="D64" s="262" t="e">
        <f>'Capacidad de Pago'!D66</f>
        <v>#N/A</v>
      </c>
      <c r="E64" s="262" t="e">
        <f>'Capacidad de Pago'!E66</f>
        <v>#N/A</v>
      </c>
    </row>
    <row r="65" spans="1:5" ht="12" thickBot="1">
      <c r="A65" s="221" t="s">
        <v>251</v>
      </c>
      <c r="B65" s="263" t="str">
        <f>'Capacidad de Pago'!B67</f>
        <v>SOSTENIBILIDAD = SALDO DEUDA / INGRESOS CORRIENTES  = (4 / 1 )</v>
      </c>
      <c r="C65" s="264">
        <f>'Capacidad de Pago'!C67</f>
        <v>0</v>
      </c>
      <c r="D65" s="265">
        <f>'Capacidad de Pago'!D67</f>
        <v>1.2843121607159174E-2</v>
      </c>
      <c r="E65" s="265">
        <f>'Capacidad de Pago'!E67</f>
        <v>1.2843121607159174E-2</v>
      </c>
    </row>
    <row r="66" spans="1:5" ht="12" hidden="1" thickBot="1">
      <c r="A66" s="221" t="s">
        <v>253</v>
      </c>
      <c r="B66" s="266" t="str">
        <f>'Capacidad de Pago'!B68</f>
        <v>ESTADO ACTUAL DE LA ENTIDAD (SEMÁFORO)</v>
      </c>
      <c r="C66" s="267">
        <f>'Capacidad de Pago'!C68</f>
        <v>0</v>
      </c>
      <c r="D66" s="268" t="e">
        <f>'Capacidad de Pago'!D68</f>
        <v>#N/A</v>
      </c>
      <c r="E66" s="268" t="e">
        <f>'Capacidad de Pago'!E68</f>
        <v>#N/A</v>
      </c>
    </row>
    <row r="67" spans="1:5" ht="23.25" customHeight="1" thickBot="1">
      <c r="B67" s="266" t="str">
        <f>'Capacidad de Pago'!B69</f>
        <v>ESTADO ACTUAL DE LA ENTIDAD (SEMÁFORO)</v>
      </c>
      <c r="C67" s="267" t="str">
        <f>'Capacidad de Pago'!C69</f>
        <v>VERDE</v>
      </c>
      <c r="D67" s="268" t="e">
        <f>'Capacidad de Pago'!D69</f>
        <v>#N/A</v>
      </c>
      <c r="E67" s="268" t="e">
        <f>'Capacidad de Pago'!E69</f>
        <v>#N/A</v>
      </c>
    </row>
    <row r="68" spans="1:5" ht="15.75">
      <c r="B68" s="9" t="s">
        <v>612</v>
      </c>
      <c r="C68" s="82"/>
      <c r="D68" s="9"/>
      <c r="E68" s="5"/>
    </row>
    <row r="69" spans="1:5" ht="6.75" customHeight="1"/>
    <row r="70" spans="1:5" ht="6.75" customHeight="1"/>
    <row r="71" spans="1:5">
      <c r="B71" s="297" t="str">
        <f>+B1</f>
        <v xml:space="preserve">Municipio de </v>
      </c>
      <c r="C71" s="298"/>
      <c r="D71" s="709" t="str">
        <f>+D1</f>
        <v>MUNICIPIO DE LA VEGA</v>
      </c>
    </row>
    <row r="72" spans="1:5" ht="12" thickBot="1">
      <c r="B72" s="241" t="s">
        <v>597</v>
      </c>
      <c r="C72" s="240"/>
    </row>
    <row r="73" spans="1:5" ht="12" thickBot="1">
      <c r="B73" s="236" t="s">
        <v>32</v>
      </c>
      <c r="C73" s="248">
        <f>+C4</f>
        <v>2004</v>
      </c>
      <c r="D73" s="248">
        <f>+D4</f>
        <v>2005</v>
      </c>
    </row>
    <row r="74" spans="1:5" ht="18.75" customHeight="1">
      <c r="A74" s="221" t="s">
        <v>613</v>
      </c>
      <c r="B74" s="227" t="s">
        <v>614</v>
      </c>
      <c r="C74" s="269">
        <f>SUM(C75:C76)</f>
        <v>0</v>
      </c>
      <c r="D74" s="269">
        <f>SUM(D75:D76)</f>
        <v>0</v>
      </c>
    </row>
    <row r="75" spans="1:5" ht="14.25" customHeight="1">
      <c r="A75" s="221" t="str">
        <f>A6</f>
        <v>21</v>
      </c>
      <c r="B75" s="227" t="s">
        <v>615</v>
      </c>
      <c r="C75" s="249">
        <f>+C6</f>
        <v>0</v>
      </c>
      <c r="D75" s="249">
        <f>+D6</f>
        <v>0</v>
      </c>
    </row>
    <row r="76" spans="1:5" ht="15.75" customHeight="1">
      <c r="A76" s="221" t="s">
        <v>616</v>
      </c>
      <c r="B76" s="227" t="s">
        <v>617</v>
      </c>
      <c r="C76" s="249">
        <f>+C25+C47+C37</f>
        <v>0</v>
      </c>
      <c r="D76" s="249">
        <f>+D25+D47+D37</f>
        <v>0</v>
      </c>
    </row>
    <row r="77" spans="1:5" ht="16.5" customHeight="1" thickBot="1">
      <c r="A77" s="221" t="str">
        <f>A5</f>
        <v>120A</v>
      </c>
      <c r="B77" s="227" t="s">
        <v>618</v>
      </c>
      <c r="C77" s="249">
        <f>+C5</f>
        <v>0</v>
      </c>
      <c r="D77" s="249" t="e">
        <f>+D5</f>
        <v>#REF!</v>
      </c>
    </row>
    <row r="78" spans="1:5" ht="18" customHeight="1" thickBot="1">
      <c r="A78" s="221" t="s">
        <v>619</v>
      </c>
      <c r="B78" s="270" t="s">
        <v>620</v>
      </c>
      <c r="C78" s="271" t="e">
        <f>+C74/C77</f>
        <v>#DIV/0!</v>
      </c>
      <c r="D78" s="271" t="e">
        <f>+D74/D77</f>
        <v>#REF!</v>
      </c>
    </row>
    <row r="79" spans="1:5" ht="18" customHeight="1" thickBot="1">
      <c r="A79" s="221" t="s">
        <v>621</v>
      </c>
      <c r="B79" s="270" t="s">
        <v>622</v>
      </c>
      <c r="C79" s="939"/>
      <c r="D79" s="939"/>
    </row>
    <row r="80" spans="1:5" ht="18" customHeight="1" thickBot="1">
      <c r="A80" s="221" t="s">
        <v>623</v>
      </c>
      <c r="B80" s="270" t="s">
        <v>582</v>
      </c>
      <c r="C80" s="271" t="e">
        <f>+C78-C79</f>
        <v>#DIV/0!</v>
      </c>
      <c r="D80" s="271" t="e">
        <f>+D78-D79</f>
        <v>#REF!</v>
      </c>
    </row>
    <row r="83" spans="2:12">
      <c r="B83" s="870"/>
      <c r="C83" s="244"/>
      <c r="D83" s="244"/>
    </row>
    <row r="84" spans="2:12">
      <c r="B84" s="871"/>
      <c r="C84" s="872"/>
      <c r="D84" s="872"/>
    </row>
    <row r="85" spans="2:12">
      <c r="B85" s="254"/>
      <c r="C85" s="873"/>
      <c r="D85" s="871"/>
    </row>
    <row r="86" spans="2:12">
      <c r="B86" s="874"/>
      <c r="C86" s="871"/>
      <c r="D86" s="871"/>
    </row>
    <row r="87" spans="2:12" s="704" customFormat="1">
      <c r="B87" s="895"/>
      <c r="C87" s="896"/>
      <c r="D87" s="896"/>
    </row>
    <row r="88" spans="2:12" ht="12" hidden="1">
      <c r="C88" s="915" t="s">
        <v>624</v>
      </c>
      <c r="D88" s="915" t="s">
        <v>625</v>
      </c>
      <c r="E88" s="712" t="s">
        <v>626</v>
      </c>
      <c r="F88" s="712" t="s">
        <v>627</v>
      </c>
      <c r="G88" s="712" t="s">
        <v>628</v>
      </c>
      <c r="H88" s="712" t="s">
        <v>629</v>
      </c>
      <c r="I88" s="712" t="s">
        <v>630</v>
      </c>
      <c r="J88" s="704" t="s">
        <v>631</v>
      </c>
      <c r="K88" s="221" t="s">
        <v>632</v>
      </c>
    </row>
    <row r="89" spans="2:12" ht="12.75" hidden="1">
      <c r="C89" s="915" t="s">
        <v>633</v>
      </c>
      <c r="D89" s="915" t="s">
        <v>634</v>
      </c>
      <c r="E89" s="713">
        <v>20010</v>
      </c>
      <c r="F89" s="713">
        <v>0.61</v>
      </c>
      <c r="G89" s="714">
        <v>1.7999999999999999E-2</v>
      </c>
      <c r="H89" s="705">
        <v>3.6999999999999998E-2</v>
      </c>
      <c r="I89" s="705">
        <v>1.9E-2</v>
      </c>
      <c r="J89" s="704">
        <v>1990</v>
      </c>
      <c r="K89" s="911">
        <v>32.36</v>
      </c>
      <c r="L89" s="221">
        <f>K89/100+1</f>
        <v>1.3235999999999999</v>
      </c>
    </row>
    <row r="90" spans="2:12" ht="12.75" hidden="1">
      <c r="E90" s="713">
        <v>20011</v>
      </c>
      <c r="F90" s="713">
        <v>0.8</v>
      </c>
      <c r="G90" s="714">
        <v>1.7999999999999999E-2</v>
      </c>
      <c r="H90" s="705">
        <v>3.2000000000000001E-2</v>
      </c>
      <c r="I90" s="705">
        <v>2.3E-2</v>
      </c>
      <c r="J90" s="910">
        <v>1991</v>
      </c>
      <c r="K90" s="911">
        <v>26.82</v>
      </c>
      <c r="L90" s="221">
        <f t="shared" ref="L90:L107" si="0">K90/100+1</f>
        <v>1.2682</v>
      </c>
    </row>
    <row r="91" spans="2:12" ht="12.75" hidden="1">
      <c r="E91" s="713">
        <v>20012</v>
      </c>
      <c r="F91" s="713">
        <v>0.85</v>
      </c>
      <c r="G91" s="714">
        <v>1.7999999999999999E-2</v>
      </c>
      <c r="H91" s="705">
        <v>3.5999999999999997E-2</v>
      </c>
      <c r="I91" s="705">
        <v>3.2000000000000001E-2</v>
      </c>
      <c r="J91" s="704">
        <v>1992</v>
      </c>
      <c r="K91" s="911">
        <v>25.13</v>
      </c>
      <c r="L91" s="221">
        <f t="shared" si="0"/>
        <v>1.2513000000000001</v>
      </c>
    </row>
    <row r="92" spans="2:12" ht="12.75" hidden="1">
      <c r="E92" s="713">
        <v>20013</v>
      </c>
      <c r="F92" s="713">
        <v>0.85</v>
      </c>
      <c r="G92" s="714">
        <v>1.4999999999999999E-2</v>
      </c>
      <c r="H92" s="704">
        <v>0</v>
      </c>
      <c r="I92" s="704">
        <v>350</v>
      </c>
      <c r="J92" s="910">
        <v>1993</v>
      </c>
      <c r="K92" s="911">
        <v>22.6</v>
      </c>
      <c r="L92" s="221">
        <f t="shared" si="0"/>
        <v>1.226</v>
      </c>
    </row>
    <row r="93" spans="2:12" ht="12.75" hidden="1">
      <c r="E93" s="713">
        <v>20014</v>
      </c>
      <c r="F93" s="713">
        <v>0.95</v>
      </c>
      <c r="G93" s="714">
        <v>1.4999999999999999E-2</v>
      </c>
      <c r="H93" s="704">
        <v>0</v>
      </c>
      <c r="I93" s="704">
        <v>280</v>
      </c>
      <c r="J93" s="704">
        <v>1994</v>
      </c>
      <c r="K93" s="911">
        <v>22.59</v>
      </c>
      <c r="L93" s="221">
        <f t="shared" si="0"/>
        <v>1.2259</v>
      </c>
    </row>
    <row r="94" spans="2:12" ht="12.75" hidden="1">
      <c r="E94" s="713">
        <v>20015</v>
      </c>
      <c r="F94" s="713">
        <v>0.95</v>
      </c>
      <c r="G94" s="714">
        <v>1.4999999999999999E-2</v>
      </c>
      <c r="H94" s="704">
        <v>0</v>
      </c>
      <c r="I94" s="704">
        <v>190</v>
      </c>
      <c r="J94" s="910">
        <v>1995</v>
      </c>
      <c r="K94" s="911">
        <v>19.46</v>
      </c>
      <c r="L94" s="221">
        <f t="shared" si="0"/>
        <v>1.1945999999999999</v>
      </c>
    </row>
    <row r="95" spans="2:12" ht="12.75" hidden="1">
      <c r="E95" s="713">
        <v>20016</v>
      </c>
      <c r="F95" s="713">
        <v>0.95</v>
      </c>
      <c r="G95" s="714">
        <v>1.4999999999999999E-2</v>
      </c>
      <c r="H95" s="704">
        <v>0</v>
      </c>
      <c r="I95" s="704">
        <v>150</v>
      </c>
      <c r="J95" s="704">
        <v>1996</v>
      </c>
      <c r="K95" s="911">
        <v>21.63</v>
      </c>
      <c r="L95" s="221">
        <f t="shared" si="0"/>
        <v>1.2162999999999999</v>
      </c>
    </row>
    <row r="96" spans="2:12" ht="12.75" hidden="1">
      <c r="E96" s="713">
        <v>20020</v>
      </c>
      <c r="F96" s="715">
        <v>0.56999999999999995</v>
      </c>
      <c r="G96" s="714">
        <v>1.7000000000000001E-2</v>
      </c>
      <c r="H96" s="714">
        <v>3.4000000000000002E-2</v>
      </c>
      <c r="I96" s="714">
        <v>1.7999999999999999E-2</v>
      </c>
      <c r="J96" s="910">
        <v>1997</v>
      </c>
      <c r="K96" s="911">
        <v>17.68</v>
      </c>
      <c r="L96" s="221">
        <f t="shared" si="0"/>
        <v>1.1768000000000001</v>
      </c>
    </row>
    <row r="97" spans="5:12" ht="12.75" hidden="1">
      <c r="E97" s="713">
        <v>20021</v>
      </c>
      <c r="F97" s="715">
        <v>0.75</v>
      </c>
      <c r="G97" s="714">
        <v>1.7000000000000001E-2</v>
      </c>
      <c r="H97" s="714">
        <v>0.03</v>
      </c>
      <c r="I97" s="714">
        <v>2.1000000000000001E-2</v>
      </c>
      <c r="J97" s="704">
        <v>1998</v>
      </c>
      <c r="K97" s="911">
        <v>16.7</v>
      </c>
      <c r="L97" s="221">
        <f t="shared" si="0"/>
        <v>1.167</v>
      </c>
    </row>
    <row r="98" spans="5:12" ht="12.75" hidden="1">
      <c r="E98" s="713">
        <v>20022</v>
      </c>
      <c r="F98" s="715">
        <v>0.8</v>
      </c>
      <c r="G98" s="714">
        <v>1.7000000000000001E-2</v>
      </c>
      <c r="H98" s="714">
        <v>3.3000000000000002E-2</v>
      </c>
      <c r="I98" s="714">
        <v>2.8000000000000001E-2</v>
      </c>
      <c r="J98" s="910">
        <v>1999</v>
      </c>
      <c r="K98" s="911">
        <v>9.23</v>
      </c>
      <c r="L98" s="221">
        <f t="shared" si="0"/>
        <v>1.0923</v>
      </c>
    </row>
    <row r="99" spans="5:12" ht="12.75" hidden="1">
      <c r="E99" s="713">
        <v>20023</v>
      </c>
      <c r="F99" s="715">
        <v>0.8</v>
      </c>
      <c r="G99" s="714">
        <v>1.4999999999999999E-2</v>
      </c>
      <c r="H99" s="715">
        <v>0</v>
      </c>
      <c r="I99" s="704">
        <v>350</v>
      </c>
      <c r="J99" s="704">
        <v>2000</v>
      </c>
      <c r="K99" s="911">
        <v>8.75</v>
      </c>
      <c r="L99" s="221">
        <f t="shared" si="0"/>
        <v>1.0874999999999999</v>
      </c>
    </row>
    <row r="100" spans="5:12" ht="12.75" hidden="1">
      <c r="E100" s="713">
        <v>20024</v>
      </c>
      <c r="F100" s="715">
        <v>0.9</v>
      </c>
      <c r="G100" s="714">
        <v>1.4999999999999999E-2</v>
      </c>
      <c r="H100" s="715">
        <v>0</v>
      </c>
      <c r="I100" s="704">
        <v>280</v>
      </c>
      <c r="J100" s="910">
        <v>2001</v>
      </c>
      <c r="K100" s="911">
        <v>7.65</v>
      </c>
      <c r="L100" s="221">
        <f t="shared" si="0"/>
        <v>1.0765</v>
      </c>
    </row>
    <row r="101" spans="5:12" ht="12.75" hidden="1">
      <c r="E101" s="713">
        <v>20025</v>
      </c>
      <c r="F101" s="715">
        <v>0.9</v>
      </c>
      <c r="G101" s="714">
        <v>1.4999999999999999E-2</v>
      </c>
      <c r="H101" s="715">
        <v>0</v>
      </c>
      <c r="I101" s="704">
        <v>190</v>
      </c>
      <c r="J101" s="704">
        <v>2002</v>
      </c>
      <c r="K101" s="912">
        <v>6.99</v>
      </c>
      <c r="L101" s="221">
        <f t="shared" si="0"/>
        <v>1.0699000000000001</v>
      </c>
    </row>
    <row r="102" spans="5:12" ht="12.75" hidden="1">
      <c r="E102" s="713">
        <v>20026</v>
      </c>
      <c r="F102" s="715">
        <v>0.9</v>
      </c>
      <c r="G102" s="714">
        <v>1.4999999999999999E-2</v>
      </c>
      <c r="H102" s="715">
        <v>0</v>
      </c>
      <c r="I102" s="704">
        <v>150</v>
      </c>
      <c r="J102" s="910">
        <v>2003</v>
      </c>
      <c r="K102" s="912">
        <v>6.49</v>
      </c>
      <c r="L102" s="221">
        <f t="shared" si="0"/>
        <v>1.0649</v>
      </c>
    </row>
    <row r="103" spans="5:12" ht="12.75" hidden="1">
      <c r="E103" s="9">
        <v>20030</v>
      </c>
      <c r="F103" s="715">
        <v>0.54</v>
      </c>
      <c r="G103" s="714">
        <v>1.6E-2</v>
      </c>
      <c r="H103" s="714">
        <v>3.1E-2</v>
      </c>
      <c r="I103" s="714">
        <v>1.7000000000000001E-2</v>
      </c>
      <c r="J103" s="704">
        <v>2004</v>
      </c>
      <c r="K103" s="912">
        <v>5.5</v>
      </c>
      <c r="L103" s="221">
        <f t="shared" si="0"/>
        <v>1.0549999999999999</v>
      </c>
    </row>
    <row r="104" spans="5:12" ht="12.75" hidden="1">
      <c r="E104" s="9">
        <v>20031</v>
      </c>
      <c r="F104" s="715">
        <v>0.7</v>
      </c>
      <c r="G104" s="714">
        <v>1.6E-2</v>
      </c>
      <c r="H104" s="714">
        <v>2.8000000000000001E-2</v>
      </c>
      <c r="I104" s="714">
        <v>1.9E-2</v>
      </c>
      <c r="J104" s="704">
        <v>2005</v>
      </c>
      <c r="K104" s="221">
        <v>5</v>
      </c>
      <c r="L104" s="221">
        <f t="shared" si="0"/>
        <v>1.05</v>
      </c>
    </row>
    <row r="105" spans="5:12" ht="12.75" hidden="1">
      <c r="E105" s="9">
        <v>20032</v>
      </c>
      <c r="F105" s="715">
        <v>0.75</v>
      </c>
      <c r="G105" s="714">
        <v>1.6E-2</v>
      </c>
      <c r="H105" s="714">
        <v>0.03</v>
      </c>
      <c r="I105" s="714">
        <v>2.5000000000000001E-2</v>
      </c>
      <c r="J105" s="704">
        <v>2006</v>
      </c>
      <c r="K105" s="221">
        <v>4.5</v>
      </c>
      <c r="L105" s="221">
        <f t="shared" si="0"/>
        <v>1.0449999999999999</v>
      </c>
    </row>
    <row r="106" spans="5:12" ht="12.75" hidden="1">
      <c r="E106" s="9">
        <v>20033</v>
      </c>
      <c r="F106" s="715">
        <v>0.75</v>
      </c>
      <c r="G106" s="714">
        <v>1.4999999999999999E-2</v>
      </c>
      <c r="H106" s="715">
        <v>0</v>
      </c>
      <c r="I106" s="704">
        <v>350</v>
      </c>
      <c r="J106" s="704">
        <v>2007</v>
      </c>
      <c r="K106" s="221">
        <v>3.5</v>
      </c>
      <c r="L106" s="221">
        <f t="shared" si="0"/>
        <v>1.0349999999999999</v>
      </c>
    </row>
    <row r="107" spans="5:12" ht="12.75" hidden="1">
      <c r="E107" s="9">
        <v>20034</v>
      </c>
      <c r="F107" s="715">
        <v>0.85</v>
      </c>
      <c r="G107" s="714">
        <v>1.4999999999999999E-2</v>
      </c>
      <c r="H107" s="715">
        <v>0</v>
      </c>
      <c r="I107" s="704">
        <v>280</v>
      </c>
      <c r="J107" s="704">
        <v>2008</v>
      </c>
      <c r="K107" s="221">
        <v>3</v>
      </c>
      <c r="L107" s="221">
        <f t="shared" si="0"/>
        <v>1.03</v>
      </c>
    </row>
    <row r="108" spans="5:12" ht="12.75" hidden="1">
      <c r="E108" s="9">
        <v>20035</v>
      </c>
      <c r="F108" s="715">
        <v>0.85</v>
      </c>
      <c r="G108" s="714">
        <v>1.4999999999999999E-2</v>
      </c>
      <c r="H108" s="715">
        <v>0</v>
      </c>
      <c r="I108" s="704">
        <v>190</v>
      </c>
      <c r="J108" s="704" t="s">
        <v>635</v>
      </c>
      <c r="K108" s="913" t="e">
        <f>IF(D4&gt;=2004,VLOOKUP((2004*10)+D16,E110:J116,4),IF(D4&lt;2001,VLOOKUP((2001*10)+D16,E89:J95,4),IF(OR(D4=2001,D4=2002,D4=2003,D4=2004),VLOOKUP((D4*10)+D16,E89:J116,4))))*$D$5</f>
        <v>#REF!</v>
      </c>
      <c r="L108" s="913">
        <f>VLOOKUP($C$4,J89:L107,3)*C37</f>
        <v>0</v>
      </c>
    </row>
    <row r="109" spans="5:12" ht="12.75" hidden="1">
      <c r="E109" s="9">
        <v>20036</v>
      </c>
      <c r="F109" s="715">
        <v>0.85</v>
      </c>
      <c r="G109" s="714">
        <v>1.4999999999999999E-2</v>
      </c>
      <c r="H109" s="715">
        <v>0</v>
      </c>
      <c r="I109" s="704">
        <v>150</v>
      </c>
      <c r="J109" s="704"/>
    </row>
    <row r="110" spans="5:12" ht="12.75" hidden="1">
      <c r="E110" s="713">
        <v>20040</v>
      </c>
      <c r="F110" s="715">
        <v>0.5</v>
      </c>
      <c r="G110" s="714">
        <v>1.4999999999999999E-2</v>
      </c>
      <c r="H110" s="714">
        <v>2.8000000000000001E-2</v>
      </c>
      <c r="I110" s="714">
        <v>1.6E-2</v>
      </c>
      <c r="J110" s="713"/>
    </row>
    <row r="111" spans="5:12" ht="12.75" hidden="1">
      <c r="E111" s="713">
        <v>20041</v>
      </c>
      <c r="F111" s="715">
        <v>0.65</v>
      </c>
      <c r="G111" s="714">
        <v>1.4999999999999999E-2</v>
      </c>
      <c r="H111" s="714">
        <v>2.5000000000000001E-2</v>
      </c>
      <c r="I111" s="714">
        <v>1.7000000000000001E-2</v>
      </c>
      <c r="J111" s="713"/>
    </row>
    <row r="112" spans="5:12" ht="12.75" hidden="1">
      <c r="E112" s="713">
        <v>20042</v>
      </c>
      <c r="F112" s="715">
        <v>0.7</v>
      </c>
      <c r="G112" s="714">
        <v>1.4999999999999999E-2</v>
      </c>
      <c r="H112" s="714">
        <v>2.8000000000000001E-2</v>
      </c>
      <c r="I112" s="714">
        <v>2.1999999999999999E-2</v>
      </c>
      <c r="J112" s="713"/>
    </row>
    <row r="113" spans="1:11" ht="12.75" hidden="1">
      <c r="E113" s="713">
        <v>20043</v>
      </c>
      <c r="F113" s="715">
        <v>0.7</v>
      </c>
      <c r="G113" s="714">
        <v>1.4999999999999999E-2</v>
      </c>
      <c r="H113" s="715">
        <v>0</v>
      </c>
      <c r="I113" s="704">
        <v>350</v>
      </c>
      <c r="J113" s="713"/>
    </row>
    <row r="114" spans="1:11" ht="12.75" hidden="1">
      <c r="E114" s="713">
        <v>20044</v>
      </c>
      <c r="F114" s="715">
        <v>0.8</v>
      </c>
      <c r="G114" s="714">
        <v>1.4999999999999999E-2</v>
      </c>
      <c r="H114" s="715">
        <v>0</v>
      </c>
      <c r="I114" s="704">
        <v>280</v>
      </c>
      <c r="J114" s="713"/>
    </row>
    <row r="115" spans="1:11" ht="12.75" hidden="1">
      <c r="E115" s="713">
        <v>20045</v>
      </c>
      <c r="F115" s="715">
        <v>0.8</v>
      </c>
      <c r="G115" s="714">
        <v>1.4999999999999999E-2</v>
      </c>
      <c r="H115" s="715">
        <v>0</v>
      </c>
      <c r="I115" s="704">
        <v>190</v>
      </c>
      <c r="J115" s="713"/>
    </row>
    <row r="116" spans="1:11" ht="12.75" hidden="1">
      <c r="D116"/>
      <c r="E116" s="713">
        <v>20046</v>
      </c>
      <c r="F116" s="715">
        <v>0.8</v>
      </c>
      <c r="G116" s="714">
        <v>1.4999999999999999E-2</v>
      </c>
      <c r="H116" s="715">
        <v>0</v>
      </c>
      <c r="I116" s="704">
        <v>150</v>
      </c>
      <c r="J116" s="713"/>
    </row>
    <row r="117" spans="1:11" s="252" customFormat="1" ht="12.75" hidden="1">
      <c r="A117" s="704"/>
      <c r="B117" s="704"/>
      <c r="C117" s="704"/>
      <c r="D117" s="897"/>
      <c r="E117" s="897">
        <v>2005</v>
      </c>
      <c r="F117" s="898"/>
      <c r="G117" s="897"/>
      <c r="H117" s="704"/>
      <c r="I117" s="704"/>
      <c r="J117" s="704"/>
      <c r="K117" s="221"/>
    </row>
    <row r="118" spans="1:11" ht="12.75" hidden="1">
      <c r="D118"/>
      <c r="E118" s="897">
        <v>2006</v>
      </c>
      <c r="F118" s="898"/>
      <c r="G118" s="897"/>
      <c r="H118" s="704"/>
      <c r="I118" s="704"/>
      <c r="J118" s="704"/>
    </row>
    <row r="119" spans="1:11" s="704" customFormat="1" ht="12.75">
      <c r="D119" s="897"/>
      <c r="E119" s="897"/>
      <c r="F119" s="898"/>
      <c r="G119" s="897"/>
    </row>
    <row r="120" spans="1:11" ht="12.75">
      <c r="D120"/>
      <c r="E120"/>
      <c r="F120" s="702"/>
      <c r="G120"/>
    </row>
    <row r="121" spans="1:11" ht="12.75">
      <c r="D121"/>
      <c r="E121"/>
      <c r="F121" s="702"/>
      <c r="G121"/>
    </row>
    <row r="122" spans="1:11" ht="12.75">
      <c r="D122"/>
      <c r="E122"/>
      <c r="F122" s="702"/>
      <c r="G122"/>
    </row>
    <row r="123" spans="1:11" ht="12.75">
      <c r="D123"/>
      <c r="E123"/>
      <c r="F123" s="702"/>
      <c r="G123"/>
    </row>
    <row r="124" spans="1:11" ht="12.75">
      <c r="D124"/>
      <c r="E124"/>
      <c r="F124" s="702"/>
      <c r="G124"/>
    </row>
    <row r="125" spans="1:11" ht="12.75">
      <c r="D125"/>
      <c r="E125"/>
      <c r="F125" s="702"/>
      <c r="G125"/>
    </row>
    <row r="126" spans="1:11" ht="12.75">
      <c r="D126"/>
      <c r="E126"/>
      <c r="F126" s="702"/>
      <c r="G126"/>
    </row>
    <row r="127" spans="1:11" ht="12.75">
      <c r="D127"/>
      <c r="E127"/>
      <c r="F127" s="702"/>
      <c r="G127"/>
    </row>
    <row r="128" spans="1:11" ht="12.75">
      <c r="D128"/>
      <c r="E128"/>
      <c r="F128" s="702"/>
      <c r="G128"/>
    </row>
    <row r="129" spans="4:9" ht="12.75">
      <c r="D129"/>
      <c r="E129"/>
      <c r="F129" s="702"/>
      <c r="G129"/>
    </row>
    <row r="130" spans="4:9" ht="12.75">
      <c r="D130"/>
      <c r="E130"/>
      <c r="F130" s="702"/>
      <c r="G130"/>
    </row>
    <row r="131" spans="4:9" ht="12.75">
      <c r="E131"/>
      <c r="F131"/>
      <c r="G131"/>
      <c r="H131"/>
      <c r="I131"/>
    </row>
    <row r="132" spans="4:9" ht="12.75">
      <c r="E132"/>
      <c r="F132" s="703"/>
    </row>
    <row r="133" spans="4:9" ht="12.75">
      <c r="E133"/>
      <c r="F133" s="703"/>
    </row>
    <row r="134" spans="4:9" ht="12.75">
      <c r="E134"/>
      <c r="F134" s="703"/>
    </row>
    <row r="135" spans="4:9" ht="12.75">
      <c r="E135"/>
      <c r="F135" s="703"/>
    </row>
    <row r="136" spans="4:9" ht="12.75">
      <c r="E136"/>
      <c r="F136" s="703"/>
    </row>
    <row r="137" spans="4:9" ht="12.75">
      <c r="E137"/>
      <c r="F137" s="703"/>
    </row>
    <row r="138" spans="4:9" ht="12.75">
      <c r="E138"/>
      <c r="F138" s="703"/>
    </row>
    <row r="139" spans="4:9" ht="12.75">
      <c r="E139"/>
      <c r="F139" s="703"/>
    </row>
    <row r="140" spans="4:9" ht="12.75">
      <c r="E140"/>
      <c r="F140" s="703"/>
    </row>
    <row r="141" spans="4:9" ht="12.75">
      <c r="E141"/>
      <c r="F141" s="703"/>
    </row>
    <row r="142" spans="4:9" ht="12.75">
      <c r="E142"/>
      <c r="F142" s="703"/>
    </row>
    <row r="143" spans="4:9" ht="12.75">
      <c r="E143"/>
      <c r="F143" s="703"/>
    </row>
    <row r="144" spans="4:9" ht="12.75">
      <c r="E144"/>
      <c r="F144" s="703"/>
    </row>
    <row r="145" spans="5:6" ht="12.75">
      <c r="E145"/>
      <c r="F145" s="703"/>
    </row>
    <row r="146" spans="5:6" ht="12.75">
      <c r="E146"/>
      <c r="F146" s="703"/>
    </row>
    <row r="147" spans="5:6" ht="12.75">
      <c r="E147"/>
      <c r="F147" s="703"/>
    </row>
    <row r="148" spans="5:6" ht="12.75">
      <c r="E148"/>
      <c r="F148" s="703"/>
    </row>
    <row r="149" spans="5:6" ht="12.75">
      <c r="E149"/>
      <c r="F149" s="703"/>
    </row>
    <row r="150" spans="5:6" ht="12.75">
      <c r="E150"/>
      <c r="F150" s="703"/>
    </row>
    <row r="151" spans="5:6" ht="12.75">
      <c r="E151"/>
      <c r="F151" s="703"/>
    </row>
    <row r="152" spans="5:6" ht="12.75">
      <c r="E152"/>
      <c r="F152" s="703"/>
    </row>
    <row r="153" spans="5:6" ht="12.75">
      <c r="E153"/>
      <c r="F153" s="703"/>
    </row>
    <row r="154" spans="5:6" ht="12.75">
      <c r="E154"/>
      <c r="F154" s="703"/>
    </row>
    <row r="155" spans="5:6" ht="12.75">
      <c r="E155"/>
      <c r="F155" s="703"/>
    </row>
    <row r="156" spans="5:6" ht="12.75">
      <c r="E156"/>
      <c r="F156" s="703"/>
    </row>
    <row r="157" spans="5:6" ht="12.75">
      <c r="E157"/>
      <c r="F157" s="703"/>
    </row>
    <row r="158" spans="5:6" ht="12.75">
      <c r="E158"/>
      <c r="F158" s="703"/>
    </row>
    <row r="159" spans="5:6" ht="12.75">
      <c r="E159"/>
      <c r="F159" s="703"/>
    </row>
  </sheetData>
  <phoneticPr fontId="33" type="noConversion"/>
  <dataValidations count="2">
    <dataValidation type="list" allowBlank="1" showInputMessage="1" showErrorMessage="1" sqref="C34:D34">
      <formula1>$IS$34:$IS$35</formula1>
    </dataValidation>
    <dataValidation type="list" allowBlank="1" showInputMessage="1" showErrorMessage="1" sqref="D23">
      <formula1>$D$88:$D$89</formula1>
    </dataValidation>
  </dataValidations>
  <printOptions horizontalCentered="1" verticalCentered="1"/>
  <pageMargins left="0.78740157480314965" right="0.78740157480314965" top="0.55000000000000004" bottom="0.68" header="0" footer="0.19685039370078741"/>
  <pageSetup scale="65" orientation="portrait" r:id="rId1"/>
  <headerFooter alignWithMargins="0">
    <oddHeader>&amp;C&amp;"Arial,Negrita"&amp;12&amp;F</oddHeader>
    <oddFooter>&amp;L&amp;"Arial,Negrita"&amp;F &amp;A&amp;R&amp;"Arial,Negrita"Página &amp;P de &amp;N</oddFooter>
  </headerFooter>
  <cellWatches>
    <cellWatch r="D34"/>
  </cellWatches>
  <legacyDrawing r:id="rId2"/>
</worksheet>
</file>

<file path=xl/worksheets/sheet12.xml><?xml version="1.0" encoding="utf-8"?>
<worksheet xmlns="http://schemas.openxmlformats.org/spreadsheetml/2006/main" xmlns:r="http://schemas.openxmlformats.org/officeDocument/2006/relationships">
  <sheetPr codeName="Hoja12"/>
  <dimension ref="A1:AJ50"/>
  <sheetViews>
    <sheetView zoomScale="80" workbookViewId="0">
      <selection activeCell="E8" sqref="E8"/>
    </sheetView>
  </sheetViews>
  <sheetFormatPr baseColWidth="10" defaultRowHeight="12.75"/>
  <cols>
    <col min="1" max="1" width="11.42578125" style="87"/>
    <col min="2" max="2" width="27.5703125" style="149" customWidth="1"/>
    <col min="3" max="4" width="13.7109375" style="85" customWidth="1"/>
    <col min="5" max="5" width="13.42578125" style="85" customWidth="1"/>
    <col min="6" max="6" width="12.140625" style="85" customWidth="1"/>
    <col min="7" max="7" width="14" style="85" customWidth="1"/>
    <col min="8" max="8" width="13.85546875" style="85" customWidth="1"/>
    <col min="9" max="9" width="13.42578125" style="85" customWidth="1"/>
    <col min="10" max="10" width="13.28515625" style="85" customWidth="1"/>
    <col min="11" max="11" width="13.42578125" style="85" customWidth="1"/>
    <col min="12" max="13" width="14" style="85" customWidth="1"/>
    <col min="14" max="14" width="13.85546875" style="85" customWidth="1"/>
    <col min="15" max="15" width="12.7109375" style="85" customWidth="1"/>
    <col min="16" max="16" width="13.140625" style="85" customWidth="1"/>
    <col min="17" max="17" width="10.7109375" style="85" customWidth="1"/>
    <col min="18" max="18" width="12" style="85" customWidth="1"/>
    <col min="19" max="19" width="12.28515625" style="85" customWidth="1"/>
    <col min="20" max="20" width="11.42578125" style="86"/>
    <col min="21" max="16384" width="11.42578125" style="87"/>
  </cols>
  <sheetData>
    <row r="1" spans="1:29" ht="21" customHeight="1">
      <c r="B1" s="8" t="s">
        <v>636</v>
      </c>
      <c r="AB1" s="85"/>
      <c r="AC1" s="85"/>
    </row>
    <row r="2" spans="1:29" ht="12.75" customHeight="1">
      <c r="B2" s="10" t="s">
        <v>780</v>
      </c>
      <c r="AB2" s="85"/>
      <c r="AC2" s="85"/>
    </row>
    <row r="3" spans="1:29" ht="12.75" customHeight="1">
      <c r="B3" s="10" t="s">
        <v>781</v>
      </c>
      <c r="AB3" s="85"/>
      <c r="AC3" s="85"/>
    </row>
    <row r="4" spans="1:29" ht="25.5" customHeight="1">
      <c r="B4" s="88" t="s">
        <v>637</v>
      </c>
      <c r="C4" s="89"/>
      <c r="D4" s="302"/>
      <c r="E4" s="302"/>
      <c r="F4" s="90"/>
      <c r="G4" s="90"/>
      <c r="H4" s="90"/>
      <c r="I4" s="90"/>
      <c r="J4" s="90"/>
      <c r="K4" s="90"/>
      <c r="L4" s="90"/>
      <c r="M4" s="90"/>
      <c r="N4" s="90"/>
      <c r="O4" s="90"/>
      <c r="P4" s="90"/>
      <c r="Q4" s="90"/>
      <c r="R4" s="90"/>
      <c r="S4" s="90"/>
      <c r="T4" s="90"/>
      <c r="U4" s="90"/>
    </row>
    <row r="5" spans="1:29" ht="18.75" customHeight="1">
      <c r="B5" s="88" t="s">
        <v>638</v>
      </c>
      <c r="C5" s="91"/>
      <c r="D5" s="303"/>
      <c r="E5" s="303"/>
      <c r="F5" s="90"/>
      <c r="G5" s="90"/>
      <c r="H5" s="90"/>
      <c r="I5" s="90"/>
      <c r="J5" s="90"/>
      <c r="K5" s="90"/>
      <c r="L5" s="90"/>
      <c r="M5" s="90"/>
      <c r="N5" s="90"/>
      <c r="O5" s="90"/>
      <c r="P5" s="90"/>
      <c r="Q5" s="90"/>
      <c r="R5" s="90"/>
      <c r="S5" s="90"/>
      <c r="T5" s="90"/>
      <c r="U5" s="90"/>
    </row>
    <row r="6" spans="1:29" ht="21.75" customHeight="1" thickBot="1">
      <c r="B6" s="92" t="s">
        <v>639</v>
      </c>
      <c r="C6" s="89"/>
      <c r="D6" s="89"/>
      <c r="E6" s="89"/>
      <c r="F6" s="89"/>
      <c r="G6" s="304"/>
      <c r="H6" s="304"/>
      <c r="I6" s="89"/>
      <c r="J6" s="89"/>
      <c r="K6" s="89"/>
      <c r="L6" s="89"/>
      <c r="M6" s="89"/>
      <c r="N6" s="89"/>
      <c r="O6" s="89"/>
      <c r="P6" s="89"/>
      <c r="Q6" s="89"/>
      <c r="R6" s="89"/>
      <c r="S6" s="89"/>
      <c r="T6" s="89"/>
      <c r="U6" s="93"/>
    </row>
    <row r="7" spans="1:29" ht="13.5" thickBot="1">
      <c r="B7" s="92" t="s">
        <v>348</v>
      </c>
      <c r="C7" s="94"/>
      <c r="D7" s="307" t="s">
        <v>640</v>
      </c>
      <c r="E7" s="308"/>
      <c r="F7" s="308"/>
      <c r="G7" s="309"/>
      <c r="H7" s="309"/>
      <c r="I7" s="308"/>
      <c r="J7" s="308"/>
      <c r="K7" s="308"/>
      <c r="L7" s="310"/>
      <c r="M7" s="311" t="s">
        <v>640</v>
      </c>
      <c r="N7" s="312"/>
      <c r="O7" s="312"/>
      <c r="P7" s="312"/>
      <c r="Q7" s="312"/>
      <c r="R7" s="312"/>
      <c r="S7" s="312"/>
      <c r="T7" s="312"/>
      <c r="U7" s="313"/>
    </row>
    <row r="8" spans="1:29" s="88" customFormat="1" ht="107.25" customHeight="1">
      <c r="B8" s="319" t="s">
        <v>641</v>
      </c>
      <c r="C8" s="728" t="s">
        <v>642</v>
      </c>
      <c r="D8" s="328" t="s">
        <v>643</v>
      </c>
      <c r="E8" s="306"/>
      <c r="F8" s="306"/>
      <c r="G8" s="306"/>
      <c r="H8" s="306"/>
      <c r="I8" s="306"/>
      <c r="J8" s="306" t="s">
        <v>644</v>
      </c>
      <c r="K8" s="306" t="s">
        <v>645</v>
      </c>
      <c r="L8" s="317" t="s">
        <v>646</v>
      </c>
      <c r="M8" s="305" t="s">
        <v>647</v>
      </c>
      <c r="N8" s="306"/>
      <c r="O8" s="306"/>
      <c r="P8" s="306"/>
      <c r="Q8" s="306"/>
      <c r="R8" s="306"/>
      <c r="S8" s="306" t="s">
        <v>648</v>
      </c>
      <c r="T8" s="306" t="s">
        <v>649</v>
      </c>
      <c r="U8" s="315" t="s">
        <v>650</v>
      </c>
    </row>
    <row r="9" spans="1:29" s="88" customFormat="1" ht="88.5" customHeight="1">
      <c r="B9" s="325"/>
      <c r="C9" s="327"/>
      <c r="D9" s="95" t="s">
        <v>651</v>
      </c>
      <c r="E9" s="96" t="s">
        <v>652</v>
      </c>
      <c r="F9" s="96" t="s">
        <v>653</v>
      </c>
      <c r="G9" s="96" t="s">
        <v>659</v>
      </c>
      <c r="H9" s="96" t="s">
        <v>660</v>
      </c>
      <c r="I9" s="97" t="s">
        <v>661</v>
      </c>
      <c r="J9" s="314"/>
      <c r="K9" s="314"/>
      <c r="L9" s="318"/>
      <c r="M9" s="98" t="s">
        <v>651</v>
      </c>
      <c r="N9" s="96" t="s">
        <v>652</v>
      </c>
      <c r="O9" s="96" t="s">
        <v>653</v>
      </c>
      <c r="P9" s="96" t="s">
        <v>659</v>
      </c>
      <c r="Q9" s="96" t="s">
        <v>660</v>
      </c>
      <c r="R9" s="97" t="s">
        <v>661</v>
      </c>
      <c r="S9" s="314"/>
      <c r="T9" s="314"/>
      <c r="U9" s="316"/>
    </row>
    <row r="10" spans="1:29" s="107" customFormat="1" ht="13.5" thickBot="1">
      <c r="B10" s="326"/>
      <c r="C10" s="99" t="s">
        <v>662</v>
      </c>
      <c r="D10" s="100"/>
      <c r="E10" s="101"/>
      <c r="F10" s="101"/>
      <c r="G10" s="101"/>
      <c r="H10" s="101"/>
      <c r="I10" s="101" t="s">
        <v>663</v>
      </c>
      <c r="J10" s="101" t="s">
        <v>664</v>
      </c>
      <c r="K10" s="102" t="s">
        <v>665</v>
      </c>
      <c r="L10" s="103" t="s">
        <v>666</v>
      </c>
      <c r="M10" s="104"/>
      <c r="N10" s="102"/>
      <c r="O10" s="102"/>
      <c r="P10" s="102"/>
      <c r="Q10" s="102"/>
      <c r="R10" s="102" t="s">
        <v>667</v>
      </c>
      <c r="S10" s="102" t="s">
        <v>668</v>
      </c>
      <c r="T10" s="105" t="s">
        <v>669</v>
      </c>
      <c r="U10" s="106" t="s">
        <v>670</v>
      </c>
    </row>
    <row r="11" spans="1:29" s="107" customFormat="1">
      <c r="A11" s="373" t="s">
        <v>671</v>
      </c>
      <c r="B11" s="687" t="s">
        <v>67</v>
      </c>
      <c r="C11" s="151"/>
      <c r="D11" s="152"/>
      <c r="E11" s="153"/>
      <c r="F11" s="153"/>
      <c r="G11" s="153"/>
      <c r="H11" s="153"/>
      <c r="I11" s="108"/>
      <c r="J11" s="108"/>
      <c r="K11" s="153"/>
      <c r="L11" s="109"/>
      <c r="M11" s="162"/>
      <c r="N11" s="153"/>
      <c r="O11" s="153"/>
      <c r="P11" s="153"/>
      <c r="Q11" s="153"/>
      <c r="R11" s="108"/>
      <c r="S11" s="108"/>
      <c r="T11" s="164"/>
      <c r="U11" s="110"/>
    </row>
    <row r="12" spans="1:29">
      <c r="A12" s="373" t="s">
        <v>672</v>
      </c>
      <c r="B12" s="111" t="s">
        <v>673</v>
      </c>
      <c r="C12" s="154"/>
      <c r="D12" s="155"/>
      <c r="E12" s="156"/>
      <c r="F12" s="156"/>
      <c r="G12" s="156"/>
      <c r="H12" s="156"/>
      <c r="I12" s="112">
        <f>SUM(D12:H12)</f>
        <v>0</v>
      </c>
      <c r="J12" s="113">
        <f>+C12-I12</f>
        <v>0</v>
      </c>
      <c r="K12" s="156"/>
      <c r="L12" s="114">
        <f>+J12+K12</f>
        <v>0</v>
      </c>
      <c r="M12" s="163"/>
      <c r="N12" s="156"/>
      <c r="O12" s="156"/>
      <c r="P12" s="156"/>
      <c r="Q12" s="156"/>
      <c r="R12" s="112">
        <f>SUM(M12:Q12)</f>
        <v>0</v>
      </c>
      <c r="S12" s="113">
        <f>+L12-R12</f>
        <v>0</v>
      </c>
      <c r="T12" s="165"/>
      <c r="U12" s="115">
        <f>+S12+T12</f>
        <v>0</v>
      </c>
    </row>
    <row r="13" spans="1:29">
      <c r="A13" s="373" t="s">
        <v>674</v>
      </c>
      <c r="B13" s="111" t="s">
        <v>675</v>
      </c>
      <c r="C13" s="157"/>
      <c r="D13" s="155"/>
      <c r="E13" s="156"/>
      <c r="F13" s="156"/>
      <c r="G13" s="156"/>
      <c r="H13" s="156"/>
      <c r="I13" s="112">
        <f>SUM(D13:H13)</f>
        <v>0</v>
      </c>
      <c r="J13" s="113">
        <f>+C13-I13</f>
        <v>0</v>
      </c>
      <c r="K13" s="156"/>
      <c r="L13" s="114">
        <f>+J13+K13</f>
        <v>0</v>
      </c>
      <c r="M13" s="163"/>
      <c r="N13" s="156"/>
      <c r="O13" s="156"/>
      <c r="P13" s="156"/>
      <c r="Q13" s="156"/>
      <c r="R13" s="112">
        <f>SUM(M13:Q13)</f>
        <v>0</v>
      </c>
      <c r="S13" s="113">
        <f>+L13-R13</f>
        <v>0</v>
      </c>
      <c r="T13" s="165"/>
      <c r="U13" s="115">
        <f>+S13+T13</f>
        <v>0</v>
      </c>
    </row>
    <row r="14" spans="1:29">
      <c r="A14" s="373" t="s">
        <v>676</v>
      </c>
      <c r="B14" s="111" t="s">
        <v>677</v>
      </c>
      <c r="C14" s="157"/>
      <c r="D14" s="155"/>
      <c r="E14" s="156"/>
      <c r="F14" s="156"/>
      <c r="G14" s="156"/>
      <c r="H14" s="156"/>
      <c r="I14" s="112">
        <f>SUM(D14:H14)</f>
        <v>0</v>
      </c>
      <c r="J14" s="113">
        <f>+C14-I14</f>
        <v>0</v>
      </c>
      <c r="K14" s="156"/>
      <c r="L14" s="114">
        <f>+J14+K14</f>
        <v>0</v>
      </c>
      <c r="M14" s="163"/>
      <c r="N14" s="156"/>
      <c r="O14" s="156"/>
      <c r="P14" s="156"/>
      <c r="Q14" s="156"/>
      <c r="R14" s="112">
        <f>SUM(M14:Q14)</f>
        <v>0</v>
      </c>
      <c r="S14" s="113">
        <f>+L14-R14</f>
        <v>0</v>
      </c>
      <c r="T14" s="165"/>
      <c r="U14" s="115">
        <f>+S14+T14</f>
        <v>0</v>
      </c>
    </row>
    <row r="15" spans="1:29">
      <c r="A15" s="373" t="s">
        <v>678</v>
      </c>
      <c r="B15" s="111" t="s">
        <v>172</v>
      </c>
      <c r="C15" s="157"/>
      <c r="D15" s="155"/>
      <c r="E15" s="156"/>
      <c r="F15" s="156"/>
      <c r="G15" s="156"/>
      <c r="H15" s="156"/>
      <c r="I15" s="112">
        <f>SUM(D15:H15)</f>
        <v>0</v>
      </c>
      <c r="J15" s="113">
        <f>+C15-I15</f>
        <v>0</v>
      </c>
      <c r="K15" s="156"/>
      <c r="L15" s="114">
        <f>+J15+K15</f>
        <v>0</v>
      </c>
      <c r="M15" s="163"/>
      <c r="N15" s="156"/>
      <c r="O15" s="156"/>
      <c r="P15" s="156"/>
      <c r="Q15" s="156"/>
      <c r="R15" s="112">
        <f>SUM(M15:Q15)</f>
        <v>0</v>
      </c>
      <c r="S15" s="113">
        <f>+L15-R15</f>
        <v>0</v>
      </c>
      <c r="T15" s="165"/>
      <c r="U15" s="115">
        <f>+S15+T15</f>
        <v>0</v>
      </c>
    </row>
    <row r="16" spans="1:29">
      <c r="A16" s="373" t="s">
        <v>679</v>
      </c>
      <c r="B16" s="111" t="s">
        <v>680</v>
      </c>
      <c r="C16" s="157"/>
      <c r="D16" s="155"/>
      <c r="E16" s="156"/>
      <c r="F16" s="156"/>
      <c r="G16" s="156"/>
      <c r="H16" s="156"/>
      <c r="I16" s="112">
        <f>SUM(D16:H16)</f>
        <v>0</v>
      </c>
      <c r="J16" s="113">
        <f>+C16-I16</f>
        <v>0</v>
      </c>
      <c r="K16" s="156"/>
      <c r="L16" s="114">
        <f>+J16+K16</f>
        <v>0</v>
      </c>
      <c r="M16" s="163"/>
      <c r="N16" s="156"/>
      <c r="O16" s="156"/>
      <c r="P16" s="156"/>
      <c r="Q16" s="156"/>
      <c r="R16" s="112">
        <f>SUM(M16:Q16)</f>
        <v>0</v>
      </c>
      <c r="S16" s="113">
        <f>+L16-R16</f>
        <v>0</v>
      </c>
      <c r="T16" s="165"/>
      <c r="U16" s="115">
        <f>+S16+T16</f>
        <v>0</v>
      </c>
    </row>
    <row r="17" spans="1:36" ht="13.5" thickBot="1">
      <c r="A17" s="373" t="s">
        <v>681</v>
      </c>
      <c r="B17" s="116" t="s">
        <v>682</v>
      </c>
      <c r="C17" s="117">
        <f t="shared" ref="C17:U17" si="0">SUM(C12:C16)</f>
        <v>0</v>
      </c>
      <c r="D17" s="118">
        <f t="shared" si="0"/>
        <v>0</v>
      </c>
      <c r="E17" s="119">
        <f t="shared" si="0"/>
        <v>0</v>
      </c>
      <c r="F17" s="119">
        <f t="shared" si="0"/>
        <v>0</v>
      </c>
      <c r="G17" s="119">
        <f t="shared" si="0"/>
        <v>0</v>
      </c>
      <c r="H17" s="119">
        <f t="shared" si="0"/>
        <v>0</v>
      </c>
      <c r="I17" s="119">
        <f t="shared" si="0"/>
        <v>0</v>
      </c>
      <c r="J17" s="119">
        <f t="shared" si="0"/>
        <v>0</v>
      </c>
      <c r="K17" s="119">
        <f t="shared" si="0"/>
        <v>0</v>
      </c>
      <c r="L17" s="120">
        <f t="shared" si="0"/>
        <v>0</v>
      </c>
      <c r="M17" s="121">
        <f t="shared" si="0"/>
        <v>0</v>
      </c>
      <c r="N17" s="119">
        <f t="shared" si="0"/>
        <v>0</v>
      </c>
      <c r="O17" s="119">
        <f t="shared" si="0"/>
        <v>0</v>
      </c>
      <c r="P17" s="119">
        <f t="shared" si="0"/>
        <v>0</v>
      </c>
      <c r="Q17" s="119">
        <f t="shared" si="0"/>
        <v>0</v>
      </c>
      <c r="R17" s="119">
        <f t="shared" si="0"/>
        <v>0</v>
      </c>
      <c r="S17" s="119">
        <f t="shared" si="0"/>
        <v>0</v>
      </c>
      <c r="T17" s="119">
        <f t="shared" si="0"/>
        <v>0</v>
      </c>
      <c r="U17" s="122">
        <f t="shared" si="0"/>
        <v>0</v>
      </c>
    </row>
    <row r="18" spans="1:36">
      <c r="A18" s="373" t="s">
        <v>683</v>
      </c>
      <c r="B18" s="123" t="s">
        <v>684</v>
      </c>
      <c r="C18" s="158"/>
      <c r="D18" s="159"/>
      <c r="E18" s="160"/>
      <c r="F18" s="160"/>
      <c r="G18" s="160"/>
      <c r="H18" s="160"/>
      <c r="I18" s="124"/>
      <c r="J18" s="124"/>
      <c r="K18" s="124"/>
      <c r="L18" s="125"/>
      <c r="M18" s="216"/>
      <c r="N18" s="160"/>
      <c r="O18" s="160"/>
      <c r="P18" s="160"/>
      <c r="Q18" s="160"/>
      <c r="R18" s="124"/>
      <c r="S18" s="124"/>
      <c r="T18" s="215"/>
      <c r="U18" s="126"/>
    </row>
    <row r="19" spans="1:36">
      <c r="A19" s="373" t="s">
        <v>685</v>
      </c>
      <c r="B19" s="111" t="s">
        <v>686</v>
      </c>
      <c r="C19" s="157"/>
      <c r="D19" s="155"/>
      <c r="E19" s="161"/>
      <c r="F19" s="161"/>
      <c r="G19" s="161"/>
      <c r="H19" s="161"/>
      <c r="I19" s="112">
        <f>SUM(D19:H19)</f>
        <v>0</v>
      </c>
      <c r="J19" s="113">
        <f>+C19-I19</f>
        <v>0</v>
      </c>
      <c r="K19" s="156"/>
      <c r="L19" s="114">
        <f>+J19+K19</f>
        <v>0</v>
      </c>
      <c r="M19" s="166"/>
      <c r="N19" s="161"/>
      <c r="O19" s="161"/>
      <c r="P19" s="161"/>
      <c r="Q19" s="161"/>
      <c r="R19" s="112">
        <f>SUM(M19:Q19)</f>
        <v>0</v>
      </c>
      <c r="S19" s="113">
        <f>+L19-R19</f>
        <v>0</v>
      </c>
      <c r="T19" s="165"/>
      <c r="U19" s="115">
        <f>+S19+T19</f>
        <v>0</v>
      </c>
    </row>
    <row r="20" spans="1:36">
      <c r="A20" s="373" t="s">
        <v>687</v>
      </c>
      <c r="B20" s="111" t="s">
        <v>688</v>
      </c>
      <c r="C20" s="157"/>
      <c r="D20" s="155"/>
      <c r="E20" s="156"/>
      <c r="F20" s="156"/>
      <c r="G20" s="156"/>
      <c r="H20" s="156"/>
      <c r="I20" s="112">
        <f>SUM(D20:H20)</f>
        <v>0</v>
      </c>
      <c r="J20" s="113">
        <f>+C20-I20</f>
        <v>0</v>
      </c>
      <c r="K20" s="156"/>
      <c r="L20" s="114">
        <f>+J20+K20</f>
        <v>0</v>
      </c>
      <c r="M20" s="163"/>
      <c r="N20" s="156"/>
      <c r="O20" s="156"/>
      <c r="P20" s="156"/>
      <c r="Q20" s="156"/>
      <c r="R20" s="112">
        <f>SUM(M20:Q20)</f>
        <v>0</v>
      </c>
      <c r="S20" s="113">
        <f>+L20-R20</f>
        <v>0</v>
      </c>
      <c r="T20" s="165"/>
      <c r="U20" s="115">
        <f>+S20+T20</f>
        <v>0</v>
      </c>
    </row>
    <row r="21" spans="1:36">
      <c r="A21" s="373" t="s">
        <v>689</v>
      </c>
      <c r="B21" s="111" t="s">
        <v>700</v>
      </c>
      <c r="C21" s="157"/>
      <c r="D21" s="155"/>
      <c r="E21" s="156"/>
      <c r="F21" s="156"/>
      <c r="G21" s="156"/>
      <c r="H21" s="156"/>
      <c r="I21" s="112">
        <f>SUM(D21:H21)</f>
        <v>0</v>
      </c>
      <c r="J21" s="113">
        <f>+C21-I21</f>
        <v>0</v>
      </c>
      <c r="K21" s="156"/>
      <c r="L21" s="114">
        <f>+J21+K21</f>
        <v>0</v>
      </c>
      <c r="M21" s="163"/>
      <c r="N21" s="156"/>
      <c r="O21" s="156"/>
      <c r="P21" s="156"/>
      <c r="Q21" s="156"/>
      <c r="R21" s="112">
        <f>SUM(M21:Q21)</f>
        <v>0</v>
      </c>
      <c r="S21" s="113">
        <f>+L21-R21</f>
        <v>0</v>
      </c>
      <c r="T21" s="165"/>
      <c r="U21" s="115">
        <f>+S21+T21</f>
        <v>0</v>
      </c>
    </row>
    <row r="22" spans="1:36">
      <c r="A22" s="373" t="s">
        <v>701</v>
      </c>
      <c r="B22" s="111" t="s">
        <v>702</v>
      </c>
      <c r="C22" s="157"/>
      <c r="D22" s="155"/>
      <c r="E22" s="156"/>
      <c r="F22" s="156"/>
      <c r="G22" s="156"/>
      <c r="H22" s="156"/>
      <c r="I22" s="112">
        <f>SUM(D22:H22)</f>
        <v>0</v>
      </c>
      <c r="J22" s="113">
        <f>+C22-I22</f>
        <v>0</v>
      </c>
      <c r="K22" s="156"/>
      <c r="L22" s="114">
        <f>+J22+K22</f>
        <v>0</v>
      </c>
      <c r="M22" s="163"/>
      <c r="N22" s="156"/>
      <c r="O22" s="156"/>
      <c r="P22" s="156"/>
      <c r="Q22" s="156"/>
      <c r="R22" s="112">
        <f>SUM(M22:Q22)</f>
        <v>0</v>
      </c>
      <c r="S22" s="113">
        <f>+L22-R22</f>
        <v>0</v>
      </c>
      <c r="T22" s="165"/>
      <c r="U22" s="115">
        <f>+S22+T22</f>
        <v>0</v>
      </c>
    </row>
    <row r="23" spans="1:36">
      <c r="A23" s="373" t="s">
        <v>703</v>
      </c>
      <c r="B23" s="111" t="s">
        <v>704</v>
      </c>
      <c r="C23" s="157"/>
      <c r="D23" s="155"/>
      <c r="E23" s="156"/>
      <c r="F23" s="156"/>
      <c r="G23" s="156"/>
      <c r="H23" s="156"/>
      <c r="I23" s="112">
        <f>SUM(D23:H23)</f>
        <v>0</v>
      </c>
      <c r="J23" s="113">
        <f>+C23-I23</f>
        <v>0</v>
      </c>
      <c r="K23" s="156"/>
      <c r="L23" s="114">
        <f>+J23+K23</f>
        <v>0</v>
      </c>
      <c r="M23" s="163"/>
      <c r="N23" s="156"/>
      <c r="O23" s="156"/>
      <c r="P23" s="156"/>
      <c r="Q23" s="156"/>
      <c r="R23" s="112">
        <f>SUM(M23:Q23)</f>
        <v>0</v>
      </c>
      <c r="S23" s="113">
        <f>+L23-R23</f>
        <v>0</v>
      </c>
      <c r="T23" s="165"/>
      <c r="U23" s="115">
        <f>+S23+T23</f>
        <v>0</v>
      </c>
    </row>
    <row r="24" spans="1:36" ht="13.5" thickBot="1">
      <c r="A24" s="373" t="s">
        <v>705</v>
      </c>
      <c r="B24" s="116" t="s">
        <v>682</v>
      </c>
      <c r="C24" s="127">
        <f t="shared" ref="C24:U24" si="1">SUM(C19:C23)</f>
        <v>0</v>
      </c>
      <c r="D24" s="128">
        <f t="shared" si="1"/>
        <v>0</v>
      </c>
      <c r="E24" s="129">
        <f t="shared" si="1"/>
        <v>0</v>
      </c>
      <c r="F24" s="129">
        <f t="shared" si="1"/>
        <v>0</v>
      </c>
      <c r="G24" s="129">
        <f t="shared" si="1"/>
        <v>0</v>
      </c>
      <c r="H24" s="129">
        <f t="shared" si="1"/>
        <v>0</v>
      </c>
      <c r="I24" s="129">
        <f t="shared" si="1"/>
        <v>0</v>
      </c>
      <c r="J24" s="129">
        <f t="shared" si="1"/>
        <v>0</v>
      </c>
      <c r="K24" s="129">
        <f t="shared" si="1"/>
        <v>0</v>
      </c>
      <c r="L24" s="130">
        <f t="shared" si="1"/>
        <v>0</v>
      </c>
      <c r="M24" s="131">
        <f t="shared" si="1"/>
        <v>0</v>
      </c>
      <c r="N24" s="129">
        <f t="shared" si="1"/>
        <v>0</v>
      </c>
      <c r="O24" s="129">
        <f t="shared" si="1"/>
        <v>0</v>
      </c>
      <c r="P24" s="129">
        <f t="shared" si="1"/>
        <v>0</v>
      </c>
      <c r="Q24" s="129">
        <f t="shared" si="1"/>
        <v>0</v>
      </c>
      <c r="R24" s="129">
        <f t="shared" si="1"/>
        <v>0</v>
      </c>
      <c r="S24" s="129">
        <f t="shared" si="1"/>
        <v>0</v>
      </c>
      <c r="T24" s="129">
        <f t="shared" si="1"/>
        <v>0</v>
      </c>
      <c r="U24" s="132">
        <f t="shared" si="1"/>
        <v>0</v>
      </c>
    </row>
    <row r="25" spans="1:36" ht="13.5" thickBot="1">
      <c r="A25" s="373" t="s">
        <v>706</v>
      </c>
      <c r="B25" s="116" t="s">
        <v>707</v>
      </c>
      <c r="C25" s="127">
        <f t="shared" ref="C25:U25" si="2">+C24+C17</f>
        <v>0</v>
      </c>
      <c r="D25" s="128">
        <f t="shared" si="2"/>
        <v>0</v>
      </c>
      <c r="E25" s="129">
        <f t="shared" si="2"/>
        <v>0</v>
      </c>
      <c r="F25" s="129">
        <f t="shared" si="2"/>
        <v>0</v>
      </c>
      <c r="G25" s="129">
        <f t="shared" si="2"/>
        <v>0</v>
      </c>
      <c r="H25" s="129">
        <f t="shared" si="2"/>
        <v>0</v>
      </c>
      <c r="I25" s="129">
        <f t="shared" si="2"/>
        <v>0</v>
      </c>
      <c r="J25" s="129">
        <f t="shared" si="2"/>
        <v>0</v>
      </c>
      <c r="K25" s="129">
        <f t="shared" si="2"/>
        <v>0</v>
      </c>
      <c r="L25" s="130">
        <f t="shared" si="2"/>
        <v>0</v>
      </c>
      <c r="M25" s="131">
        <f t="shared" si="2"/>
        <v>0</v>
      </c>
      <c r="N25" s="129">
        <f t="shared" si="2"/>
        <v>0</v>
      </c>
      <c r="O25" s="129">
        <f t="shared" si="2"/>
        <v>0</v>
      </c>
      <c r="P25" s="129">
        <f t="shared" si="2"/>
        <v>0</v>
      </c>
      <c r="Q25" s="129">
        <f t="shared" si="2"/>
        <v>0</v>
      </c>
      <c r="R25" s="129">
        <f t="shared" si="2"/>
        <v>0</v>
      </c>
      <c r="S25" s="129">
        <f t="shared" si="2"/>
        <v>0</v>
      </c>
      <c r="T25" s="129">
        <f t="shared" si="2"/>
        <v>0</v>
      </c>
      <c r="U25" s="132">
        <f t="shared" si="2"/>
        <v>0</v>
      </c>
    </row>
    <row r="26" spans="1:36">
      <c r="B26" s="133"/>
      <c r="C26" s="134"/>
      <c r="D26" s="134"/>
      <c r="E26" s="134"/>
      <c r="F26" s="134"/>
      <c r="G26" s="134"/>
      <c r="H26" s="134"/>
      <c r="I26" s="134"/>
      <c r="J26" s="134"/>
      <c r="K26" s="134"/>
      <c r="L26" s="134"/>
      <c r="M26" s="134"/>
      <c r="N26" s="134"/>
      <c r="O26" s="134"/>
      <c r="P26" s="134"/>
      <c r="Q26" s="134"/>
      <c r="R26" s="134"/>
      <c r="S26" s="134"/>
      <c r="T26" s="135"/>
      <c r="U26" s="136"/>
    </row>
    <row r="27" spans="1:36">
      <c r="B27" s="133"/>
      <c r="C27" s="134"/>
      <c r="D27" s="134"/>
      <c r="E27" s="134"/>
      <c r="F27" s="134"/>
      <c r="G27" s="134"/>
      <c r="H27" s="134"/>
      <c r="I27" s="134"/>
      <c r="J27" s="134"/>
      <c r="K27" s="134"/>
      <c r="L27" s="134"/>
      <c r="M27" s="134"/>
      <c r="N27" s="134"/>
      <c r="O27" s="134"/>
      <c r="P27" s="134"/>
      <c r="Q27" s="134"/>
      <c r="R27" s="134"/>
      <c r="S27" s="134"/>
      <c r="T27" s="135"/>
      <c r="U27" s="136"/>
    </row>
    <row r="28" spans="1:36" ht="18" customHeight="1" thickBot="1">
      <c r="B28" s="133"/>
      <c r="C28" s="137"/>
      <c r="D28" s="134"/>
      <c r="E28" s="134"/>
      <c r="F28" s="93" t="s">
        <v>708</v>
      </c>
      <c r="G28" s="134"/>
      <c r="H28" s="134"/>
      <c r="I28" s="134"/>
      <c r="J28" s="134"/>
      <c r="K28" s="134"/>
      <c r="L28" s="134"/>
      <c r="M28" s="134"/>
      <c r="N28" s="134"/>
      <c r="O28" s="134"/>
      <c r="P28" s="134"/>
      <c r="Q28" s="134"/>
      <c r="R28" s="134"/>
      <c r="S28" s="134"/>
      <c r="T28" s="135"/>
      <c r="U28" s="136"/>
    </row>
    <row r="29" spans="1:36" ht="33" customHeight="1">
      <c r="B29" s="319" t="s">
        <v>709</v>
      </c>
      <c r="C29" s="289" t="s">
        <v>710</v>
      </c>
      <c r="D29" s="321" t="s">
        <v>711</v>
      </c>
      <c r="E29" s="322"/>
      <c r="F29" s="323" t="s">
        <v>712</v>
      </c>
      <c r="G29" s="134"/>
      <c r="H29" s="134"/>
      <c r="I29" s="137"/>
      <c r="J29" s="134"/>
      <c r="K29" s="134"/>
      <c r="L29" s="134"/>
      <c r="M29" s="134"/>
      <c r="N29" s="134"/>
      <c r="O29" s="134"/>
      <c r="P29" s="134"/>
      <c r="Q29" s="134"/>
      <c r="R29" s="137"/>
      <c r="S29" s="134"/>
      <c r="T29" s="135"/>
      <c r="U29" s="136"/>
    </row>
    <row r="30" spans="1:36" ht="42.75" customHeight="1" thickBot="1">
      <c r="B30" s="320"/>
      <c r="C30" s="290"/>
      <c r="D30" s="138" t="s">
        <v>653</v>
      </c>
      <c r="E30" s="102" t="s">
        <v>713</v>
      </c>
      <c r="F30" s="324"/>
      <c r="G30" s="134"/>
      <c r="H30" s="134"/>
      <c r="I30" s="139"/>
      <c r="J30" s="134"/>
      <c r="K30" s="134"/>
      <c r="L30" s="134"/>
      <c r="M30" s="134"/>
      <c r="N30" s="134"/>
      <c r="O30" s="134"/>
      <c r="P30" s="134"/>
      <c r="Q30" s="134"/>
      <c r="R30" s="139"/>
      <c r="S30" s="134"/>
      <c r="T30" s="135"/>
      <c r="U30" s="136"/>
      <c r="V30" s="140"/>
      <c r="W30" s="140"/>
      <c r="X30" s="140"/>
      <c r="Y30" s="140"/>
      <c r="Z30" s="140"/>
      <c r="AA30" s="140"/>
      <c r="AB30" s="140"/>
      <c r="AC30" s="140"/>
      <c r="AD30" s="140"/>
      <c r="AE30" s="140"/>
      <c r="AF30" s="140"/>
      <c r="AG30" s="140"/>
      <c r="AH30" s="140"/>
      <c r="AI30" s="140"/>
      <c r="AJ30" s="140"/>
    </row>
    <row r="31" spans="1:36" ht="15.75" thickBot="1">
      <c r="A31" s="373" t="s">
        <v>714</v>
      </c>
      <c r="B31" s="141" t="s">
        <v>67</v>
      </c>
      <c r="C31" s="167"/>
      <c r="D31" s="168"/>
      <c r="E31" s="169"/>
      <c r="F31" s="170"/>
      <c r="G31" s="134"/>
      <c r="H31" s="134"/>
      <c r="I31" s="139"/>
      <c r="J31" s="134"/>
      <c r="K31" s="134"/>
      <c r="L31" s="134"/>
      <c r="M31" s="134"/>
      <c r="N31" s="134"/>
      <c r="O31" s="134"/>
      <c r="P31" s="134"/>
      <c r="Q31" s="134"/>
      <c r="R31" s="139"/>
      <c r="S31" s="134"/>
      <c r="T31" s="135"/>
      <c r="U31" s="136"/>
      <c r="V31" s="140"/>
      <c r="W31" s="140"/>
      <c r="X31" s="140"/>
      <c r="Y31" s="140"/>
      <c r="Z31" s="140"/>
      <c r="AA31" s="140"/>
      <c r="AB31" s="140"/>
      <c r="AC31" s="140"/>
      <c r="AD31" s="140"/>
      <c r="AE31" s="140"/>
      <c r="AF31" s="140"/>
      <c r="AG31" s="140"/>
      <c r="AH31" s="140"/>
      <c r="AI31" s="140"/>
      <c r="AJ31" s="140"/>
    </row>
    <row r="32" spans="1:36">
      <c r="A32" s="373" t="s">
        <v>715</v>
      </c>
      <c r="B32" s="141" t="s">
        <v>673</v>
      </c>
      <c r="C32" s="171"/>
      <c r="D32" s="172"/>
      <c r="E32" s="173"/>
      <c r="F32" s="174"/>
      <c r="G32" s="134"/>
      <c r="H32" s="134"/>
      <c r="I32" s="134"/>
      <c r="J32" s="134"/>
      <c r="K32" s="134"/>
      <c r="L32" s="134"/>
      <c r="M32" s="134"/>
      <c r="N32" s="134"/>
      <c r="O32" s="134"/>
      <c r="P32" s="134"/>
      <c r="Q32" s="134"/>
      <c r="R32" s="134"/>
      <c r="S32" s="134"/>
      <c r="T32" s="135"/>
      <c r="U32" s="136"/>
      <c r="V32" s="140"/>
      <c r="W32" s="140"/>
      <c r="X32" s="140"/>
      <c r="Y32" s="140"/>
      <c r="Z32" s="140"/>
      <c r="AA32" s="140"/>
      <c r="AB32" s="140"/>
      <c r="AC32" s="140"/>
      <c r="AD32" s="140"/>
      <c r="AE32" s="140"/>
      <c r="AF32" s="140"/>
      <c r="AG32" s="140"/>
      <c r="AH32" s="140"/>
      <c r="AI32" s="140"/>
      <c r="AJ32" s="140"/>
    </row>
    <row r="33" spans="1:21">
      <c r="A33" s="373" t="s">
        <v>716</v>
      </c>
      <c r="B33" s="111" t="s">
        <v>675</v>
      </c>
      <c r="C33" s="157"/>
      <c r="D33" s="175"/>
      <c r="E33" s="176"/>
      <c r="F33" s="177"/>
      <c r="G33" s="134"/>
      <c r="H33" s="134"/>
      <c r="I33" s="134"/>
      <c r="J33" s="134"/>
      <c r="K33" s="134"/>
      <c r="L33" s="134"/>
      <c r="M33" s="134"/>
      <c r="N33" s="134"/>
      <c r="O33" s="134"/>
      <c r="P33" s="134"/>
      <c r="Q33" s="134"/>
      <c r="R33" s="134"/>
      <c r="S33" s="134"/>
      <c r="T33" s="135"/>
      <c r="U33" s="136"/>
    </row>
    <row r="34" spans="1:21">
      <c r="A34" s="373" t="s">
        <v>717</v>
      </c>
      <c r="B34" s="111" t="s">
        <v>677</v>
      </c>
      <c r="C34" s="157"/>
      <c r="D34" s="175"/>
      <c r="E34" s="176"/>
      <c r="F34" s="177"/>
      <c r="G34" s="134"/>
      <c r="H34" s="134"/>
      <c r="I34" s="134"/>
      <c r="J34" s="134"/>
      <c r="K34" s="134"/>
      <c r="L34" s="134"/>
      <c r="M34" s="134"/>
      <c r="N34" s="134"/>
      <c r="O34" s="134"/>
      <c r="P34" s="134"/>
      <c r="Q34" s="134"/>
      <c r="R34" s="134"/>
      <c r="S34" s="134"/>
      <c r="T34" s="135"/>
      <c r="U34" s="136"/>
    </row>
    <row r="35" spans="1:21">
      <c r="A35" s="373" t="s">
        <v>718</v>
      </c>
      <c r="B35" s="111" t="s">
        <v>172</v>
      </c>
      <c r="C35" s="157"/>
      <c r="D35" s="175"/>
      <c r="E35" s="176"/>
      <c r="F35" s="177"/>
      <c r="G35" s="134"/>
      <c r="H35" s="134"/>
      <c r="I35" s="134"/>
      <c r="J35" s="134"/>
      <c r="K35" s="134"/>
      <c r="L35" s="134"/>
      <c r="M35" s="134"/>
      <c r="N35" s="134"/>
      <c r="O35" s="134"/>
      <c r="P35" s="134"/>
      <c r="Q35" s="134"/>
      <c r="R35" s="134"/>
      <c r="S35" s="134"/>
      <c r="T35" s="135"/>
      <c r="U35" s="136"/>
    </row>
    <row r="36" spans="1:21">
      <c r="A36" s="373" t="s">
        <v>719</v>
      </c>
      <c r="B36" s="111" t="s">
        <v>680</v>
      </c>
      <c r="C36" s="157"/>
      <c r="D36" s="175"/>
      <c r="E36" s="176"/>
      <c r="F36" s="177"/>
      <c r="G36" s="134"/>
      <c r="H36" s="134"/>
      <c r="I36" s="134"/>
      <c r="J36" s="134"/>
      <c r="K36" s="134"/>
      <c r="L36" s="134"/>
      <c r="M36" s="134"/>
      <c r="N36" s="134"/>
      <c r="O36" s="134"/>
      <c r="P36" s="134"/>
      <c r="Q36" s="134"/>
      <c r="R36" s="134"/>
      <c r="S36" s="134"/>
      <c r="T36" s="135"/>
      <c r="U36" s="136"/>
    </row>
    <row r="37" spans="1:21" ht="13.5" thickBot="1">
      <c r="A37" s="373" t="s">
        <v>720</v>
      </c>
      <c r="B37" s="116" t="s">
        <v>682</v>
      </c>
      <c r="C37" s="142">
        <f>SUM(C32:C36)</f>
        <v>0</v>
      </c>
      <c r="D37" s="142">
        <f>SUM(D32:D36)</f>
        <v>0</v>
      </c>
      <c r="E37" s="142">
        <f>SUM(E32:E36)</f>
        <v>0</v>
      </c>
      <c r="F37" s="142">
        <f>SUM(F32:F36)</f>
        <v>0</v>
      </c>
      <c r="G37" s="134"/>
      <c r="H37" s="134"/>
      <c r="I37" s="134"/>
      <c r="J37" s="134"/>
      <c r="K37" s="134"/>
      <c r="L37" s="134"/>
      <c r="M37" s="134"/>
      <c r="N37" s="134"/>
      <c r="O37" s="134"/>
      <c r="P37" s="134"/>
      <c r="Q37" s="134"/>
      <c r="R37" s="134"/>
      <c r="S37" s="134"/>
      <c r="T37" s="135"/>
      <c r="U37" s="136"/>
    </row>
    <row r="38" spans="1:21" ht="13.5" thickBot="1">
      <c r="A38" s="373" t="s">
        <v>721</v>
      </c>
      <c r="B38" s="141" t="s">
        <v>684</v>
      </c>
      <c r="C38" s="143"/>
      <c r="D38" s="134"/>
      <c r="E38" s="134"/>
      <c r="F38" s="134"/>
      <c r="G38" s="134"/>
      <c r="H38" s="134"/>
      <c r="I38" s="134"/>
      <c r="J38" s="134"/>
      <c r="K38" s="134"/>
      <c r="L38" s="134"/>
      <c r="M38" s="134"/>
      <c r="N38" s="134"/>
      <c r="O38" s="134"/>
      <c r="P38" s="134"/>
      <c r="Q38" s="134"/>
      <c r="R38" s="134"/>
      <c r="S38" s="134"/>
      <c r="T38" s="135"/>
      <c r="U38" s="136"/>
    </row>
    <row r="39" spans="1:21">
      <c r="A39" s="373" t="s">
        <v>722</v>
      </c>
      <c r="B39" s="141" t="s">
        <v>686</v>
      </c>
      <c r="C39" s="178"/>
      <c r="D39" s="179"/>
      <c r="E39" s="180"/>
      <c r="F39" s="181"/>
      <c r="G39" s="134"/>
      <c r="H39" s="134"/>
      <c r="I39" s="134"/>
      <c r="J39" s="134"/>
      <c r="K39" s="134"/>
      <c r="L39" s="134"/>
      <c r="M39" s="134"/>
      <c r="N39" s="134"/>
      <c r="O39" s="134"/>
      <c r="P39" s="134"/>
      <c r="Q39" s="134"/>
      <c r="R39" s="134"/>
      <c r="S39" s="134"/>
      <c r="T39" s="135"/>
      <c r="U39" s="136"/>
    </row>
    <row r="40" spans="1:21">
      <c r="A40" s="373" t="s">
        <v>726</v>
      </c>
      <c r="B40" s="144" t="s">
        <v>688</v>
      </c>
      <c r="C40" s="171"/>
      <c r="D40" s="182"/>
      <c r="E40" s="176"/>
      <c r="F40" s="177"/>
      <c r="G40" s="134"/>
      <c r="H40" s="134"/>
      <c r="I40" s="134"/>
      <c r="J40" s="134"/>
      <c r="K40" s="134"/>
      <c r="L40" s="134"/>
      <c r="M40" s="134"/>
      <c r="N40" s="134"/>
      <c r="O40" s="134"/>
      <c r="P40" s="134"/>
      <c r="Q40" s="134"/>
      <c r="R40" s="134"/>
      <c r="S40" s="134"/>
      <c r="T40" s="135"/>
      <c r="U40" s="136"/>
    </row>
    <row r="41" spans="1:21">
      <c r="A41" s="373" t="s">
        <v>727</v>
      </c>
      <c r="B41" s="111" t="s">
        <v>700</v>
      </c>
      <c r="C41" s="157"/>
      <c r="D41" s="182"/>
      <c r="E41" s="176"/>
      <c r="F41" s="177"/>
      <c r="G41" s="134"/>
      <c r="H41" s="134"/>
      <c r="I41" s="134"/>
      <c r="J41" s="134"/>
      <c r="K41" s="134"/>
      <c r="L41" s="134"/>
      <c r="M41" s="134"/>
      <c r="N41" s="134"/>
      <c r="O41" s="134"/>
      <c r="P41" s="134"/>
      <c r="Q41" s="134"/>
      <c r="R41" s="134"/>
      <c r="S41" s="134"/>
      <c r="T41" s="135"/>
      <c r="U41" s="136"/>
    </row>
    <row r="42" spans="1:21">
      <c r="A42" s="373" t="s">
        <v>728</v>
      </c>
      <c r="B42" s="111" t="s">
        <v>729</v>
      </c>
      <c r="C42" s="157"/>
      <c r="D42" s="182"/>
      <c r="E42" s="176"/>
      <c r="F42" s="177"/>
      <c r="G42" s="134"/>
      <c r="H42" s="134"/>
      <c r="I42" s="134"/>
      <c r="J42" s="134"/>
      <c r="K42" s="134"/>
      <c r="L42" s="134"/>
      <c r="M42" s="134"/>
      <c r="N42" s="134"/>
      <c r="O42" s="134"/>
      <c r="P42" s="134"/>
      <c r="Q42" s="134"/>
      <c r="R42" s="134"/>
      <c r="S42" s="134"/>
      <c r="T42" s="135"/>
      <c r="U42" s="136"/>
    </row>
    <row r="43" spans="1:21">
      <c r="A43" s="373" t="s">
        <v>730</v>
      </c>
      <c r="B43" s="111" t="s">
        <v>704</v>
      </c>
      <c r="C43" s="157"/>
      <c r="D43" s="182"/>
      <c r="E43" s="176"/>
      <c r="F43" s="177"/>
      <c r="G43" s="134"/>
      <c r="H43" s="134"/>
      <c r="I43" s="134"/>
      <c r="J43" s="134"/>
      <c r="K43" s="134"/>
      <c r="L43" s="134"/>
      <c r="M43" s="134"/>
      <c r="N43" s="134"/>
      <c r="O43" s="134"/>
      <c r="P43" s="134"/>
      <c r="Q43" s="134"/>
      <c r="R43" s="134"/>
      <c r="S43" s="134"/>
      <c r="T43" s="135"/>
      <c r="U43" s="136"/>
    </row>
    <row r="44" spans="1:21" ht="13.5" thickBot="1">
      <c r="A44" s="373" t="s">
        <v>731</v>
      </c>
      <c r="B44" s="116" t="s">
        <v>682</v>
      </c>
      <c r="C44" s="142">
        <f>SUM(C39:C43)</f>
        <v>0</v>
      </c>
      <c r="D44" s="142">
        <f>SUM(D39:D43)</f>
        <v>0</v>
      </c>
      <c r="E44" s="142">
        <f>SUM(E39:E43)</f>
        <v>0</v>
      </c>
      <c r="F44" s="142">
        <f>SUM(F39:F43)</f>
        <v>0</v>
      </c>
      <c r="G44" s="134"/>
      <c r="H44" s="134"/>
      <c r="I44" s="134"/>
      <c r="J44" s="134"/>
      <c r="K44" s="134"/>
      <c r="L44" s="134"/>
      <c r="M44" s="134"/>
      <c r="N44" s="134"/>
      <c r="O44" s="134"/>
      <c r="P44" s="134"/>
      <c r="Q44" s="134"/>
      <c r="R44" s="134"/>
      <c r="S44" s="134"/>
      <c r="T44" s="135"/>
      <c r="U44" s="136"/>
    </row>
    <row r="45" spans="1:21" ht="55.5" customHeight="1" thickBot="1">
      <c r="A45" s="373" t="s">
        <v>732</v>
      </c>
      <c r="B45" s="145" t="s">
        <v>733</v>
      </c>
      <c r="C45" s="142">
        <f>+C44+C37</f>
        <v>0</v>
      </c>
      <c r="D45" s="142">
        <f>+D44+D37</f>
        <v>0</v>
      </c>
      <c r="E45" s="142">
        <f>+E44+E37</f>
        <v>0</v>
      </c>
      <c r="F45" s="142">
        <f>+F44+F37</f>
        <v>0</v>
      </c>
      <c r="G45" s="134"/>
      <c r="H45" s="134"/>
      <c r="I45" s="134"/>
      <c r="J45" s="134"/>
      <c r="K45" s="134"/>
      <c r="L45" s="134"/>
      <c r="M45" s="134"/>
      <c r="N45" s="134"/>
      <c r="O45" s="134"/>
      <c r="P45" s="134"/>
      <c r="Q45" s="134"/>
      <c r="R45" s="134"/>
      <c r="S45" s="134"/>
      <c r="T45" s="135"/>
      <c r="U45" s="136"/>
    </row>
    <row r="46" spans="1:21" ht="16.5" thickBot="1">
      <c r="A46" s="374" t="s">
        <v>734</v>
      </c>
      <c r="B46" s="146" t="s">
        <v>735</v>
      </c>
      <c r="C46" s="147"/>
      <c r="D46" s="148"/>
      <c r="E46" s="148"/>
      <c r="F46" s="217"/>
    </row>
    <row r="50" spans="3:3">
      <c r="C50" s="150"/>
    </row>
  </sheetData>
  <phoneticPr fontId="33" type="noConversion"/>
  <printOptions horizontalCentered="1" verticalCentered="1"/>
  <pageMargins left="0.23" right="0.23" top="0.39370078740157483" bottom="0.39370078740157483" header="0.19685039370078741" footer="0.19685039370078741"/>
  <pageSetup scale="50" orientation="landscape" r:id="rId1"/>
  <headerFooter alignWithMargins="0">
    <oddHeader>&amp;C&amp;"Arial,Negrita"&amp;12&amp;F</oddHeader>
    <oddFooter>&amp;L&amp;"Arial,Negrita"&amp;F &amp;A&amp;R&amp;"Arial,Negrita"Página &amp;P de &amp;N</oddFooter>
  </headerFooter>
  <legacyDrawing r:id="rId2"/>
</worksheet>
</file>

<file path=xl/worksheets/sheet13.xml><?xml version="1.0" encoding="utf-8"?>
<worksheet xmlns="http://schemas.openxmlformats.org/spreadsheetml/2006/main" xmlns:r="http://schemas.openxmlformats.org/officeDocument/2006/relationships">
  <sheetPr codeName="Hoja13">
    <pageSetUpPr fitToPage="1"/>
  </sheetPr>
  <dimension ref="A1:M19"/>
  <sheetViews>
    <sheetView zoomScale="80" workbookViewId="0">
      <selection activeCell="D8" sqref="D8"/>
    </sheetView>
  </sheetViews>
  <sheetFormatPr baseColWidth="10" defaultColWidth="19.140625" defaultRowHeight="12.75"/>
  <cols>
    <col min="1" max="1" width="28.5703125" style="5" customWidth="1"/>
    <col min="2" max="3" width="14.5703125" style="40" customWidth="1"/>
    <col min="4" max="4" width="15.7109375" style="40" customWidth="1"/>
    <col min="5" max="5" width="15.5703125" style="40" customWidth="1"/>
    <col min="6" max="6" width="15.7109375" style="40" customWidth="1"/>
    <col min="7" max="7" width="14.42578125" style="40" customWidth="1"/>
    <col min="8" max="10" width="13.7109375" style="40" customWidth="1"/>
    <col min="11" max="11" width="14.5703125" style="40" customWidth="1"/>
    <col min="12" max="12" width="17.140625" style="40" customWidth="1"/>
    <col min="13" max="13" width="13.7109375" style="40" customWidth="1"/>
    <col min="14" max="14" width="13.7109375" style="5" customWidth="1"/>
    <col min="15" max="15" width="15.7109375" style="5" customWidth="1"/>
    <col min="16" max="16" width="13.7109375" style="5" customWidth="1"/>
    <col min="17" max="17" width="19" style="5" customWidth="1"/>
    <col min="18" max="18" width="18.42578125" style="5" customWidth="1"/>
    <col min="19" max="21" width="13.7109375" style="5" customWidth="1"/>
    <col min="22" max="22" width="15.5703125" style="5" customWidth="1"/>
    <col min="23" max="23" width="14.5703125" style="5" customWidth="1"/>
    <col min="24" max="24" width="14.7109375" style="5" customWidth="1"/>
    <col min="25" max="26" width="14.5703125" style="5" customWidth="1"/>
    <col min="27" max="27" width="15.7109375" style="5" customWidth="1"/>
    <col min="28" max="28" width="14.5703125" style="5" customWidth="1"/>
    <col min="29" max="29" width="16.28515625" style="5" customWidth="1"/>
    <col min="30" max="30" width="12.7109375" style="5" customWidth="1"/>
    <col min="31" max="32" width="13.7109375" style="5" customWidth="1"/>
    <col min="33" max="34" width="14.5703125" style="5" customWidth="1"/>
    <col min="35" max="16384" width="19.140625" style="5"/>
  </cols>
  <sheetData>
    <row r="1" spans="1:13">
      <c r="A1" s="349" t="s">
        <v>736</v>
      </c>
      <c r="B1" s="349"/>
      <c r="C1" s="349"/>
      <c r="D1" s="349"/>
      <c r="E1" s="349"/>
      <c r="F1" s="349"/>
      <c r="G1" s="349"/>
      <c r="H1" s="349"/>
      <c r="I1" s="349"/>
      <c r="J1" s="349"/>
      <c r="K1" s="349"/>
      <c r="L1" s="349"/>
      <c r="M1" s="349"/>
    </row>
    <row r="2" spans="1:13">
      <c r="B2" s="183"/>
      <c r="C2" s="183"/>
      <c r="D2" s="183"/>
      <c r="E2" s="183"/>
      <c r="F2" s="183"/>
      <c r="G2" s="183"/>
      <c r="H2" s="183"/>
      <c r="I2" s="183"/>
      <c r="J2" s="183"/>
      <c r="K2" s="183"/>
      <c r="L2" s="183"/>
      <c r="M2" s="183"/>
    </row>
    <row r="3" spans="1:13" s="74" customFormat="1" ht="12.75" customHeight="1">
      <c r="A3" s="184"/>
      <c r="B3" s="185"/>
      <c r="C3" s="186"/>
      <c r="D3" s="186"/>
      <c r="E3" s="187"/>
      <c r="F3" s="187"/>
      <c r="G3" s="188"/>
      <c r="H3" s="185"/>
      <c r="I3" s="185"/>
      <c r="J3" s="185"/>
      <c r="M3" s="189"/>
    </row>
    <row r="4" spans="1:13" s="74" customFormat="1" ht="12.75" customHeight="1" thickBot="1">
      <c r="A4" s="184"/>
      <c r="D4" s="186"/>
      <c r="E4" s="187"/>
      <c r="F4" s="187"/>
      <c r="G4" s="188"/>
      <c r="H4" s="185"/>
      <c r="I4" s="185"/>
      <c r="J4" s="185"/>
      <c r="M4" s="189"/>
    </row>
    <row r="5" spans="1:13" s="74" customFormat="1" ht="36.75" thickBot="1">
      <c r="A5" s="332" t="s">
        <v>1044</v>
      </c>
      <c r="B5" s="335" t="s">
        <v>737</v>
      </c>
      <c r="C5" s="335" t="s">
        <v>738</v>
      </c>
      <c r="D5" s="341" t="s">
        <v>739</v>
      </c>
      <c r="E5" s="338" t="s">
        <v>740</v>
      </c>
      <c r="F5" s="338" t="s">
        <v>741</v>
      </c>
      <c r="G5" s="338" t="s">
        <v>742</v>
      </c>
      <c r="H5" s="350" t="s">
        <v>743</v>
      </c>
      <c r="I5" s="350"/>
      <c r="J5" s="351"/>
      <c r="K5" s="344" t="s">
        <v>744</v>
      </c>
      <c r="L5" s="189"/>
    </row>
    <row r="6" spans="1:13" s="74" customFormat="1" ht="12.75" customHeight="1" thickBot="1">
      <c r="A6" s="333"/>
      <c r="B6" s="336"/>
      <c r="C6" s="336"/>
      <c r="D6" s="342"/>
      <c r="E6" s="339"/>
      <c r="F6" s="339"/>
      <c r="G6" s="339"/>
      <c r="H6" s="348" t="s">
        <v>1053</v>
      </c>
      <c r="I6" s="346" t="s">
        <v>1051</v>
      </c>
      <c r="J6" s="347"/>
      <c r="K6" s="345"/>
      <c r="L6" s="189"/>
    </row>
    <row r="7" spans="1:13" s="74" customFormat="1" ht="12.75" customHeight="1" thickBot="1">
      <c r="A7" s="334"/>
      <c r="B7" s="337"/>
      <c r="C7" s="337"/>
      <c r="D7" s="343"/>
      <c r="E7" s="340"/>
      <c r="F7" s="340"/>
      <c r="G7" s="340"/>
      <c r="H7" s="340"/>
      <c r="I7" s="190" t="s">
        <v>745</v>
      </c>
      <c r="J7" s="190" t="s">
        <v>746</v>
      </c>
      <c r="K7" s="191" t="s">
        <v>747</v>
      </c>
      <c r="L7" s="189"/>
    </row>
    <row r="8" spans="1:13" s="74" customFormat="1" ht="12.75" customHeight="1" thickBot="1">
      <c r="A8" s="30">
        <f>+'Cuadros para Informe Municipios'!C16</f>
        <v>0</v>
      </c>
      <c r="B8" s="31" t="e">
        <f>+'Balance Financiero'!C93</f>
        <v>#REF!</v>
      </c>
      <c r="C8" s="31" t="e">
        <f>+'Balance Financiero'!C91</f>
        <v>#REF!</v>
      </c>
      <c r="D8" s="29"/>
      <c r="E8" s="31" t="e">
        <f>+'Balance Financiero'!C95</f>
        <v>#DIV/0!</v>
      </c>
      <c r="F8" s="31" t="str">
        <f>+'Capacidad de Pago'!C45</f>
        <v>VERDE</v>
      </c>
      <c r="G8" s="28"/>
      <c r="H8" s="27"/>
      <c r="I8" s="25"/>
      <c r="J8" s="26"/>
      <c r="K8" s="212" t="s">
        <v>748</v>
      </c>
      <c r="L8" s="189"/>
    </row>
    <row r="9" spans="1:13" s="74" customFormat="1" ht="12.75" customHeight="1" thickBot="1">
      <c r="A9" s="184"/>
      <c r="D9" s="186"/>
      <c r="E9" s="187"/>
      <c r="F9" s="187"/>
      <c r="G9" s="188"/>
      <c r="H9" s="185"/>
      <c r="I9" s="185"/>
      <c r="J9" s="185"/>
      <c r="M9" s="189"/>
    </row>
    <row r="10" spans="1:13" ht="30" customHeight="1" thickBot="1">
      <c r="A10" s="329" t="s">
        <v>749</v>
      </c>
      <c r="B10" s="330"/>
      <c r="C10" s="330"/>
      <c r="D10" s="330"/>
      <c r="E10" s="331"/>
    </row>
    <row r="11" spans="1:13" s="196" customFormat="1" ht="32.25" customHeight="1" thickBot="1">
      <c r="A11" s="192"/>
      <c r="B11" s="193" t="s">
        <v>750</v>
      </c>
      <c r="C11" s="194" t="s">
        <v>751</v>
      </c>
      <c r="D11" s="193" t="s">
        <v>752</v>
      </c>
      <c r="E11" s="195" t="s">
        <v>753</v>
      </c>
      <c r="F11" s="7"/>
      <c r="G11" s="7"/>
      <c r="H11" s="7"/>
      <c r="I11" s="7"/>
      <c r="J11" s="7"/>
      <c r="K11" s="7"/>
      <c r="L11" s="7"/>
      <c r="M11" s="7"/>
    </row>
    <row r="12" spans="1:13" s="196" customFormat="1" ht="35.25" customHeight="1">
      <c r="A12" s="197" t="s">
        <v>754</v>
      </c>
      <c r="B12" s="198" t="s">
        <v>755</v>
      </c>
      <c r="C12" s="199" t="s">
        <v>756</v>
      </c>
      <c r="D12" s="198" t="s">
        <v>756</v>
      </c>
      <c r="E12" s="200" t="s">
        <v>757</v>
      </c>
      <c r="F12" s="7"/>
      <c r="G12" s="7"/>
      <c r="H12" s="7"/>
      <c r="I12" s="7"/>
      <c r="J12" s="7"/>
      <c r="K12" s="7"/>
      <c r="L12" s="7"/>
      <c r="M12" s="7"/>
    </row>
    <row r="13" spans="1:13" s="196" customFormat="1" ht="77.25" customHeight="1">
      <c r="A13" s="201" t="s">
        <v>758</v>
      </c>
      <c r="B13" s="202" t="s">
        <v>759</v>
      </c>
      <c r="C13" s="203" t="s">
        <v>760</v>
      </c>
      <c r="D13" s="202" t="s">
        <v>761</v>
      </c>
      <c r="E13" s="204" t="s">
        <v>757</v>
      </c>
      <c r="F13" s="7"/>
      <c r="G13" s="7"/>
      <c r="H13" s="7"/>
      <c r="I13" s="7"/>
      <c r="J13" s="7"/>
      <c r="K13" s="7"/>
      <c r="L13" s="7"/>
      <c r="M13" s="7"/>
    </row>
    <row r="14" spans="1:13" s="196" customFormat="1" ht="15.75" customHeight="1">
      <c r="A14" s="201" t="s">
        <v>762</v>
      </c>
      <c r="B14" s="202" t="s">
        <v>763</v>
      </c>
      <c r="C14" s="205" t="s">
        <v>763</v>
      </c>
      <c r="D14" s="206" t="s">
        <v>764</v>
      </c>
      <c r="E14" s="204" t="s">
        <v>764</v>
      </c>
      <c r="F14" s="7"/>
      <c r="G14" s="7"/>
      <c r="H14" s="7"/>
      <c r="I14" s="7"/>
      <c r="J14" s="7"/>
      <c r="K14" s="7"/>
      <c r="L14" s="7"/>
      <c r="M14" s="7"/>
    </row>
    <row r="15" spans="1:13" s="196" customFormat="1" ht="41.25" customHeight="1">
      <c r="A15" s="201" t="s">
        <v>765</v>
      </c>
      <c r="B15" s="202" t="s">
        <v>766</v>
      </c>
      <c r="C15" s="205" t="s">
        <v>767</v>
      </c>
      <c r="D15" s="206" t="s">
        <v>768</v>
      </c>
      <c r="E15" s="204" t="s">
        <v>767</v>
      </c>
      <c r="F15" s="207"/>
      <c r="G15" s="207"/>
      <c r="H15" s="207"/>
      <c r="I15" s="207"/>
      <c r="J15" s="207"/>
      <c r="K15" s="207"/>
      <c r="L15" s="207"/>
      <c r="M15" s="207"/>
    </row>
    <row r="16" spans="1:13" s="196" customFormat="1" ht="33.75" customHeight="1">
      <c r="A16" s="208" t="s">
        <v>769</v>
      </c>
      <c r="B16" s="206" t="s">
        <v>770</v>
      </c>
      <c r="C16" s="205" t="s">
        <v>771</v>
      </c>
      <c r="D16" s="202" t="s">
        <v>771</v>
      </c>
      <c r="E16" s="204" t="s">
        <v>771</v>
      </c>
      <c r="F16" s="207"/>
      <c r="G16" s="207"/>
      <c r="H16" s="207"/>
      <c r="I16" s="207"/>
      <c r="J16" s="207"/>
      <c r="K16" s="207"/>
      <c r="L16" s="207"/>
      <c r="M16" s="207"/>
    </row>
    <row r="17" spans="1:13" s="196" customFormat="1" ht="30" customHeight="1">
      <c r="A17" s="208" t="s">
        <v>772</v>
      </c>
      <c r="B17" s="202" t="s">
        <v>773</v>
      </c>
      <c r="C17" s="203" t="s">
        <v>774</v>
      </c>
      <c r="D17" s="202" t="s">
        <v>775</v>
      </c>
      <c r="E17" s="204" t="s">
        <v>776</v>
      </c>
      <c r="F17" s="207"/>
      <c r="G17" s="207"/>
      <c r="H17" s="207"/>
      <c r="I17" s="207"/>
      <c r="J17" s="207"/>
      <c r="K17" s="207"/>
      <c r="L17" s="207"/>
      <c r="M17" s="207"/>
    </row>
    <row r="18" spans="1:13" s="196" customFormat="1" ht="45.75" thickBot="1">
      <c r="A18" s="209" t="s">
        <v>777</v>
      </c>
      <c r="B18" s="213"/>
      <c r="C18" s="214"/>
      <c r="D18" s="210" t="s">
        <v>778</v>
      </c>
      <c r="E18" s="211" t="s">
        <v>779</v>
      </c>
      <c r="F18" s="207"/>
      <c r="G18" s="207"/>
      <c r="H18" s="207"/>
      <c r="I18" s="207"/>
      <c r="J18" s="207"/>
      <c r="K18" s="207"/>
      <c r="L18" s="207"/>
      <c r="M18" s="207"/>
    </row>
    <row r="19" spans="1:13" s="196" customFormat="1">
      <c r="B19" s="207"/>
      <c r="C19" s="207"/>
      <c r="D19" s="207"/>
      <c r="E19" s="207"/>
      <c r="F19" s="207"/>
      <c r="G19" s="207"/>
      <c r="H19" s="207"/>
      <c r="I19" s="207"/>
      <c r="J19" s="207"/>
      <c r="K19" s="207"/>
      <c r="L19" s="207"/>
      <c r="M19" s="207"/>
    </row>
  </sheetData>
  <sheetProtection password="C049" sheet="1" objects="1" scenarios="1"/>
  <phoneticPr fontId="33" type="noConversion"/>
  <printOptions horizontalCentered="1" verticalCentered="1"/>
  <pageMargins left="0.61" right="0.53" top="1" bottom="1" header="0" footer="0"/>
  <pageSetup paperSize="119" scale="94" orientation="landscape" r:id="rId1"/>
  <headerFooter alignWithMargins="0">
    <oddHeader>&amp;C&amp;"Arial,Negrita"&amp;12&amp;F</oddHeader>
    <oddFooter>&amp;L&amp;"Arial,Negrita"&amp;F &amp;A&amp;R&amp;"Arial,Negrita"Página &amp;P de &amp;N</oddFooter>
  </headerFooter>
</worksheet>
</file>

<file path=xl/worksheets/sheet14.xml><?xml version="1.0" encoding="utf-8"?>
<worksheet xmlns="http://schemas.openxmlformats.org/spreadsheetml/2006/main" xmlns:r="http://schemas.openxmlformats.org/officeDocument/2006/relationships">
  <sheetPr codeName="Hoja14"/>
  <dimension ref="A1:Q218"/>
  <sheetViews>
    <sheetView topLeftCell="C1" zoomScale="80" zoomScaleNormal="75" workbookViewId="0">
      <selection activeCell="M30" sqref="M30"/>
    </sheetView>
  </sheetViews>
  <sheetFormatPr baseColWidth="10" defaultColWidth="12" defaultRowHeight="12.75"/>
  <cols>
    <col min="1" max="1" width="18.7109375" style="9" hidden="1" customWidth="1"/>
    <col min="2" max="2" width="52" style="9" customWidth="1"/>
    <col min="3" max="3" width="14.85546875" style="9" customWidth="1"/>
    <col min="4" max="4" width="18" style="9" customWidth="1"/>
    <col min="5" max="5" width="12" style="9" customWidth="1"/>
    <col min="6" max="6" width="13" style="9" customWidth="1"/>
    <col min="7" max="7" width="12" style="9" hidden="1" customWidth="1"/>
    <col min="8" max="9" width="12" style="9" customWidth="1"/>
    <col min="10" max="10" width="13.5703125" style="9" customWidth="1"/>
    <col min="11" max="11" width="12" style="9" customWidth="1"/>
    <col min="12" max="12" width="16" style="9" customWidth="1"/>
    <col min="13" max="13" width="14.28515625" style="9" customWidth="1"/>
    <col min="14" max="16384" width="12" style="9"/>
  </cols>
  <sheetData>
    <row r="1" spans="1:17" s="375" customFormat="1" ht="12.75" customHeight="1">
      <c r="A1" s="385" t="s">
        <v>780</v>
      </c>
      <c r="B1" s="385"/>
      <c r="C1" s="385"/>
      <c r="D1" s="385"/>
      <c r="E1" s="385"/>
      <c r="O1" s="9"/>
      <c r="P1" s="9"/>
      <c r="Q1" s="9"/>
    </row>
    <row r="2" spans="1:17" s="375" customFormat="1" ht="12.75" customHeight="1">
      <c r="A2" s="385" t="s">
        <v>781</v>
      </c>
      <c r="B2" s="385"/>
      <c r="C2" s="385"/>
      <c r="D2" s="385"/>
      <c r="E2" s="385"/>
      <c r="O2" s="9"/>
      <c r="P2" s="9"/>
      <c r="Q2" s="9"/>
    </row>
    <row r="3" spans="1:17" s="375" customFormat="1" ht="3" customHeight="1">
      <c r="A3" s="386"/>
      <c r="B3" s="386"/>
      <c r="C3" s="386"/>
      <c r="O3" s="9"/>
      <c r="P3" s="9"/>
      <c r="Q3" s="9"/>
    </row>
    <row r="4" spans="1:17" s="375" customFormat="1" ht="3" customHeight="1">
      <c r="A4" s="387"/>
      <c r="B4" s="387"/>
      <c r="C4" s="387"/>
      <c r="D4" s="378"/>
      <c r="E4" s="378"/>
      <c r="O4" s="9"/>
      <c r="P4" s="9"/>
      <c r="Q4" s="9"/>
    </row>
    <row r="5" spans="1:17" s="375" customFormat="1" ht="3" customHeight="1">
      <c r="A5" s="388"/>
      <c r="B5" s="388"/>
      <c r="C5" s="389"/>
      <c r="D5" s="378"/>
      <c r="E5" s="378"/>
      <c r="O5" s="9"/>
      <c r="P5" s="9"/>
      <c r="Q5" s="9"/>
    </row>
    <row r="6" spans="1:17" s="415" customFormat="1" ht="17.100000000000001" hidden="1" customHeight="1">
      <c r="A6" s="415" t="s">
        <v>782</v>
      </c>
      <c r="B6" s="695"/>
      <c r="C6" s="431"/>
      <c r="D6" s="416"/>
      <c r="E6" s="417"/>
      <c r="F6" s="417"/>
      <c r="G6" s="417"/>
      <c r="H6" s="417"/>
      <c r="I6" s="417"/>
      <c r="O6" s="885"/>
      <c r="P6" s="885"/>
      <c r="Q6" s="885"/>
    </row>
    <row r="7" spans="1:17" s="375" customFormat="1" ht="12.75" hidden="1" customHeight="1">
      <c r="A7" s="378"/>
      <c r="B7" s="379"/>
      <c r="C7" s="381"/>
      <c r="D7" s="376"/>
      <c r="E7" s="377"/>
      <c r="F7" s="377"/>
      <c r="G7" s="377"/>
      <c r="H7" s="377"/>
      <c r="I7" s="377"/>
      <c r="O7" s="9"/>
      <c r="P7" s="9"/>
      <c r="Q7" s="9"/>
    </row>
    <row r="8" spans="1:17" s="415" customFormat="1" ht="17.100000000000001" customHeight="1">
      <c r="A8" s="415" t="s">
        <v>783</v>
      </c>
      <c r="B8" s="963" t="s">
        <v>898</v>
      </c>
      <c r="C8" s="420"/>
      <c r="D8" s="416"/>
      <c r="E8" s="417"/>
      <c r="F8" s="417"/>
      <c r="G8" s="417"/>
      <c r="H8" s="417"/>
      <c r="I8" s="417"/>
      <c r="O8" s="885"/>
      <c r="P8" s="885"/>
      <c r="Q8" s="885"/>
    </row>
    <row r="9" spans="1:17" s="375" customFormat="1" ht="12.75" customHeight="1">
      <c r="A9" s="378"/>
      <c r="B9" s="380"/>
      <c r="C9" s="381"/>
      <c r="D9" s="376"/>
      <c r="E9" s="377"/>
      <c r="F9" s="377"/>
      <c r="G9" s="377"/>
      <c r="H9" s="377"/>
      <c r="I9" s="377"/>
      <c r="O9" s="9"/>
      <c r="P9" s="9"/>
      <c r="Q9" s="9"/>
    </row>
    <row r="10" spans="1:17" s="415" customFormat="1" ht="17.100000000000001" customHeight="1">
      <c r="A10" s="415" t="s">
        <v>784</v>
      </c>
      <c r="B10" s="960">
        <v>2005</v>
      </c>
      <c r="C10" s="416"/>
      <c r="D10" s="418" t="s">
        <v>785</v>
      </c>
      <c r="E10" s="961">
        <v>0</v>
      </c>
      <c r="F10" s="417"/>
      <c r="G10" s="417"/>
      <c r="H10" s="417"/>
      <c r="I10" s="417"/>
      <c r="O10" s="885"/>
      <c r="P10" s="885"/>
      <c r="Q10" s="885"/>
    </row>
    <row r="11" spans="1:17" s="375" customFormat="1" ht="12.75" customHeight="1">
      <c r="B11" s="380"/>
      <c r="C11" s="376"/>
      <c r="D11" s="376"/>
      <c r="E11" s="377"/>
      <c r="F11" s="377"/>
      <c r="G11" s="377"/>
      <c r="H11" s="377"/>
      <c r="I11" s="377"/>
      <c r="O11" s="9"/>
      <c r="P11" s="9"/>
      <c r="Q11" s="9"/>
    </row>
    <row r="12" spans="1:17" s="415" customFormat="1" ht="17.100000000000001" customHeight="1">
      <c r="A12" s="415" t="s">
        <v>786</v>
      </c>
      <c r="B12" s="700">
        <v>6</v>
      </c>
      <c r="C12" s="417"/>
      <c r="D12" s="416"/>
      <c r="E12" s="417"/>
      <c r="F12" s="417"/>
      <c r="G12" s="417"/>
      <c r="H12" s="417"/>
      <c r="I12" s="417"/>
      <c r="O12" s="885"/>
      <c r="P12" s="885"/>
      <c r="Q12" s="885"/>
    </row>
    <row r="13" spans="1:17" s="375" customFormat="1" ht="12.75" customHeight="1">
      <c r="A13" s="378"/>
      <c r="B13" s="383"/>
      <c r="C13" s="377"/>
      <c r="D13" s="376"/>
      <c r="E13" s="377"/>
      <c r="F13" s="377"/>
      <c r="G13" s="377"/>
      <c r="H13" s="377"/>
      <c r="I13" s="377"/>
    </row>
    <row r="14" spans="1:17" s="415" customFormat="1" ht="17.100000000000001" hidden="1" customHeight="1">
      <c r="A14" s="415" t="s">
        <v>787</v>
      </c>
      <c r="B14" s="1326"/>
      <c r="C14" s="1327"/>
      <c r="D14" s="416"/>
      <c r="E14" s="417"/>
      <c r="F14" s="417"/>
      <c r="G14" s="417"/>
      <c r="H14" s="417"/>
      <c r="I14" s="417"/>
    </row>
    <row r="15" spans="1:17" s="375" customFormat="1" ht="3.75" customHeight="1">
      <c r="B15" s="377"/>
      <c r="C15" s="377"/>
      <c r="D15" s="377"/>
      <c r="E15" s="377"/>
      <c r="F15" s="377"/>
      <c r="G15" s="377"/>
      <c r="H15" s="377"/>
      <c r="I15" s="377"/>
    </row>
    <row r="16" spans="1:17" s="415" customFormat="1" ht="17.100000000000001" customHeight="1">
      <c r="A16" s="415" t="s">
        <v>788</v>
      </c>
      <c r="B16" s="417"/>
      <c r="C16" s="417"/>
      <c r="D16" s="417"/>
      <c r="E16" s="417"/>
      <c r="F16" s="417"/>
      <c r="G16" s="417"/>
      <c r="H16" s="417"/>
      <c r="I16" s="417"/>
    </row>
    <row r="17" spans="1:13" s="415" customFormat="1" ht="17.100000000000001" customHeight="1">
      <c r="A17" s="415" t="s">
        <v>789</v>
      </c>
      <c r="B17" s="961" t="s">
        <v>1089</v>
      </c>
      <c r="C17" s="417"/>
      <c r="D17" s="417"/>
      <c r="E17" s="417"/>
      <c r="F17" s="417"/>
      <c r="G17" s="417"/>
      <c r="H17" s="417"/>
      <c r="I17" s="976"/>
    </row>
    <row r="18" spans="1:13" s="415" customFormat="1" ht="17.100000000000001" hidden="1" customHeight="1">
      <c r="A18" s="415" t="s">
        <v>790</v>
      </c>
      <c r="B18" s="421"/>
      <c r="C18" s="417"/>
      <c r="D18" s="417"/>
      <c r="E18" s="417"/>
      <c r="F18" s="417"/>
      <c r="G18" s="417"/>
      <c r="H18" s="417"/>
      <c r="I18" s="417"/>
    </row>
    <row r="19" spans="1:13" s="415" customFormat="1" ht="17.100000000000001" hidden="1" customHeight="1">
      <c r="A19" s="415" t="s">
        <v>791</v>
      </c>
      <c r="B19" s="421"/>
      <c r="C19" s="417"/>
      <c r="D19" s="417"/>
      <c r="E19" s="417"/>
      <c r="F19" s="417"/>
      <c r="G19" s="417"/>
      <c r="H19" s="417"/>
      <c r="I19" s="417"/>
    </row>
    <row r="20" spans="1:13" s="375" customFormat="1" ht="3.75" customHeight="1">
      <c r="B20" s="377"/>
      <c r="C20" s="377"/>
      <c r="D20" s="377"/>
      <c r="E20" s="377"/>
      <c r="F20" s="377"/>
      <c r="G20" s="377"/>
      <c r="H20" s="377"/>
      <c r="I20" s="377"/>
    </row>
    <row r="21" spans="1:13" s="415" customFormat="1" ht="17.100000000000001" customHeight="1" thickBot="1">
      <c r="A21" s="688" t="s">
        <v>792</v>
      </c>
      <c r="D21" s="838" t="s">
        <v>1089</v>
      </c>
      <c r="E21" s="417"/>
      <c r="F21" s="419"/>
      <c r="G21" s="419"/>
      <c r="H21" s="419" t="s">
        <v>723</v>
      </c>
      <c r="I21" s="901">
        <v>37257</v>
      </c>
    </row>
    <row r="22" spans="1:13" s="375" customFormat="1" ht="12.75" customHeight="1" thickBot="1">
      <c r="A22" s="837" t="s">
        <v>794</v>
      </c>
      <c r="B22" s="836"/>
      <c r="C22" s="377"/>
      <c r="D22" s="962" t="s">
        <v>1053</v>
      </c>
      <c r="E22" s="377"/>
      <c r="F22" s="384"/>
      <c r="G22" s="384"/>
      <c r="H22" s="384" t="s">
        <v>724</v>
      </c>
      <c r="I22" s="884">
        <v>42735</v>
      </c>
    </row>
    <row r="23" spans="1:13" s="375" customFormat="1" ht="3.75" customHeight="1">
      <c r="A23" s="391"/>
      <c r="F23" s="393"/>
      <c r="G23" s="393"/>
    </row>
    <row r="24" spans="1:13" s="375" customFormat="1" ht="3.75" customHeight="1" thickBot="1">
      <c r="G24" s="378"/>
    </row>
    <row r="25" spans="1:13" s="45" customFormat="1" ht="66" customHeight="1" thickBot="1">
      <c r="A25" s="353" t="s">
        <v>796</v>
      </c>
      <c r="B25" s="353" t="s">
        <v>797</v>
      </c>
      <c r="C25" s="353" t="str">
        <f>"Escenario Financiero Año"&amp;" "&amp;('INGRESOS 2005'!$B$10)</f>
        <v>Escenario Financiero Año 2005</v>
      </c>
      <c r="D25" s="353" t="s">
        <v>798</v>
      </c>
      <c r="E25" s="353" t="s">
        <v>799</v>
      </c>
      <c r="F25" s="353" t="s">
        <v>800</v>
      </c>
      <c r="G25" s="353" t="s">
        <v>801</v>
      </c>
      <c r="H25" s="353" t="s">
        <v>802</v>
      </c>
      <c r="I25" s="353" t="s">
        <v>803</v>
      </c>
      <c r="J25" s="353" t="s">
        <v>804</v>
      </c>
      <c r="K25" s="353" t="s">
        <v>805</v>
      </c>
      <c r="L25" s="77" t="s">
        <v>806</v>
      </c>
      <c r="M25" s="956" t="s">
        <v>807</v>
      </c>
    </row>
    <row r="26" spans="1:13" ht="7.5" hidden="1" customHeight="1">
      <c r="A26" s="433"/>
      <c r="B26" s="282"/>
      <c r="C26" s="282"/>
      <c r="D26" s="282"/>
      <c r="E26" s="282"/>
      <c r="F26" s="282"/>
      <c r="G26" s="282"/>
      <c r="H26" s="282"/>
      <c r="I26" s="282"/>
      <c r="J26" s="282"/>
      <c r="K26" s="282"/>
      <c r="L26" s="423"/>
      <c r="M26" s="282"/>
    </row>
    <row r="27" spans="1:13">
      <c r="A27" s="434" t="s">
        <v>808</v>
      </c>
      <c r="B27" s="440" t="s">
        <v>809</v>
      </c>
      <c r="C27" s="432" t="e">
        <f>+C28+C87</f>
        <v>#N/A</v>
      </c>
      <c r="D27" s="432">
        <f>+D28+D87</f>
        <v>4472535</v>
      </c>
      <c r="E27" s="432" t="e">
        <f>+E28+E87</f>
        <v>#N/A</v>
      </c>
      <c r="F27" s="432" t="e">
        <f t="shared" ref="F27:F58" si="0">+E27-D27</f>
        <v>#N/A</v>
      </c>
      <c r="G27" s="432">
        <f>+G28+G87</f>
        <v>0</v>
      </c>
      <c r="H27" s="432">
        <f>+H28+H87</f>
        <v>3562511</v>
      </c>
      <c r="I27" s="424" t="e">
        <f t="shared" ref="I27:I58" si="1">+H27/E27</f>
        <v>#N/A</v>
      </c>
      <c r="J27" s="432">
        <f>+J28+J87</f>
        <v>3197064</v>
      </c>
      <c r="K27" s="424">
        <f t="shared" ref="K27:K37" si="2">+(H27/J27)-1</f>
        <v>0.11430706423143233</v>
      </c>
      <c r="L27" s="424" t="e">
        <f t="shared" ref="L27:L58" si="3">+H27/C27</f>
        <v>#N/A</v>
      </c>
      <c r="M27" s="432" t="e">
        <f>+M28+M87</f>
        <v>#N/A</v>
      </c>
    </row>
    <row r="28" spans="1:13">
      <c r="A28" s="434" t="s">
        <v>810</v>
      </c>
      <c r="B28" s="440" t="s">
        <v>811</v>
      </c>
      <c r="C28" s="432">
        <f>+C29+C50</f>
        <v>6672041</v>
      </c>
      <c r="D28" s="432">
        <f>+D29+D50</f>
        <v>4445035</v>
      </c>
      <c r="E28" s="432">
        <f>+E29+E50</f>
        <v>6672041</v>
      </c>
      <c r="F28" s="432">
        <f t="shared" si="0"/>
        <v>2227006</v>
      </c>
      <c r="G28" s="432">
        <f>+G29+G50</f>
        <v>0</v>
      </c>
      <c r="H28" s="432">
        <f>+H29+H50</f>
        <v>3531956</v>
      </c>
      <c r="I28" s="424">
        <f t="shared" si="1"/>
        <v>0.52936665107423653</v>
      </c>
      <c r="J28" s="432">
        <f>+J29+J50</f>
        <v>3181565</v>
      </c>
      <c r="K28" s="424">
        <f t="shared" si="2"/>
        <v>0.11013164904693129</v>
      </c>
      <c r="L28" s="424">
        <f t="shared" si="3"/>
        <v>0.52936665107423653</v>
      </c>
      <c r="M28" s="432">
        <f>+M29+M50</f>
        <v>6672041</v>
      </c>
    </row>
    <row r="29" spans="1:13">
      <c r="A29" s="434" t="s">
        <v>812</v>
      </c>
      <c r="B29" s="440" t="s">
        <v>813</v>
      </c>
      <c r="C29" s="432">
        <f>+C30+C32+C33+C34+C35+C36+C37+C38+C39+C40+C42+C48+C49+C31+C41</f>
        <v>169089</v>
      </c>
      <c r="D29" s="432">
        <f>+D30+D32+D33+D34+D35+D36+D37+D38+D39+D40+D42+D48+D49+D31+D41</f>
        <v>161400</v>
      </c>
      <c r="E29" s="432">
        <f>+E30+E32+E33+E34+E35+E36+E37+E38+E39+E40+E42+E48+E49+E31+E41</f>
        <v>169089</v>
      </c>
      <c r="F29" s="432">
        <f t="shared" si="0"/>
        <v>7689</v>
      </c>
      <c r="G29" s="432">
        <f>+G30+G32+G33+G34+G35+G36+G37+G38+G39+G40+G42+G48+G49+G31+G41</f>
        <v>0</v>
      </c>
      <c r="H29" s="432">
        <f>+H30+H32+H33+H34+H35+H36+H37+H38+H39+H40+H42+H48+H49+H31+H41</f>
        <v>75679</v>
      </c>
      <c r="I29" s="424">
        <f t="shared" si="1"/>
        <v>0.44756903169336859</v>
      </c>
      <c r="J29" s="432">
        <f>+J30+J32+J33+J34+J35+J36+J37+J38+J39+J40+J42+J48+J49+J31+J41</f>
        <v>64629</v>
      </c>
      <c r="K29" s="424">
        <f t="shared" si="2"/>
        <v>0.17097587770196032</v>
      </c>
      <c r="L29" s="424">
        <f t="shared" si="3"/>
        <v>0.44756903169336859</v>
      </c>
      <c r="M29" s="432">
        <f>+M30+M32+M33+M34+M35+M36+M37+M38+M39+M40+M42+M48+M49+M31+M41</f>
        <v>169089</v>
      </c>
    </row>
    <row r="30" spans="1:13">
      <c r="A30" s="435" t="s">
        <v>814</v>
      </c>
      <c r="B30" s="441" t="s">
        <v>815</v>
      </c>
      <c r="C30" s="887">
        <f>VLOOKUP(A30,'Ingresos Proyecciones'!$A$11:$P$121,LOOKUP($C$25,'Ingresos Proyecciones'!$C$9:$P$9,'Ingresos Proyecciones'!$C$178:$P$178),FALSE)</f>
        <v>80000</v>
      </c>
      <c r="D30" s="6">
        <v>80000</v>
      </c>
      <c r="E30" s="6">
        <f t="shared" ref="E30:E41" si="4">+C30</f>
        <v>80000</v>
      </c>
      <c r="F30" s="425">
        <f t="shared" si="0"/>
        <v>0</v>
      </c>
      <c r="G30" s="6">
        <v>0</v>
      </c>
      <c r="H30" s="6">
        <v>13529</v>
      </c>
      <c r="I30" s="989">
        <f t="shared" si="1"/>
        <v>0.1691125</v>
      </c>
      <c r="J30" s="6">
        <v>24206</v>
      </c>
      <c r="K30" s="989">
        <f t="shared" si="2"/>
        <v>-0.44108898620176817</v>
      </c>
      <c r="L30" s="989">
        <f t="shared" si="3"/>
        <v>0.1691125</v>
      </c>
      <c r="M30" s="6">
        <f>VLOOKUP(A30,'Ingresos Proyecciones'!$A$11:$P$121,LOOKUP($O$190,'Ingresos Proyecciones'!$C$9:$P$9,'Ingresos Proyecciones'!$C$178:$P$178),FALSE)</f>
        <v>80000</v>
      </c>
    </row>
    <row r="31" spans="1:13" hidden="1">
      <c r="A31" s="435" t="s">
        <v>816</v>
      </c>
      <c r="B31" s="441" t="s">
        <v>817</v>
      </c>
      <c r="C31" s="887">
        <f>VLOOKUP(A31,'Ingresos Proyecciones'!$A$11:$P$121,LOOKUP($C$25,'Ingresos Proyecciones'!$C$9:$P$9,'Ingresos Proyecciones'!$C$178:$P$178),FALSE)</f>
        <v>0</v>
      </c>
      <c r="D31" s="6"/>
      <c r="E31" s="6">
        <f t="shared" si="4"/>
        <v>0</v>
      </c>
      <c r="F31" s="425">
        <f t="shared" si="0"/>
        <v>0</v>
      </c>
      <c r="G31" s="6"/>
      <c r="H31" s="6"/>
      <c r="I31" s="989" t="e">
        <f t="shared" si="1"/>
        <v>#DIV/0!</v>
      </c>
      <c r="J31" s="6"/>
      <c r="K31" s="989" t="e">
        <f t="shared" si="2"/>
        <v>#DIV/0!</v>
      </c>
      <c r="L31" s="989" t="e">
        <f t="shared" si="3"/>
        <v>#DIV/0!</v>
      </c>
      <c r="M31" s="6">
        <f>VLOOKUP(A31,'Ingresos Proyecciones'!$A$11:$P$121,LOOKUP($O$190,'Ingresos Proyecciones'!$C$9:$P$9,'Ingresos Proyecciones'!$C$178:$P$178),FALSE)</f>
        <v>0</v>
      </c>
    </row>
    <row r="32" spans="1:13">
      <c r="A32" s="434" t="s">
        <v>818</v>
      </c>
      <c r="B32" s="441" t="s">
        <v>819</v>
      </c>
      <c r="C32" s="887">
        <f>VLOOKUP(A32,'Ingresos Proyecciones'!$A$11:$P$121,LOOKUP($C$25,'Ingresos Proyecciones'!$C$9:$P$9,'Ingresos Proyecciones'!$C$178:$P$178),FALSE)</f>
        <v>2000</v>
      </c>
      <c r="D32" s="6">
        <v>2000</v>
      </c>
      <c r="E32" s="6">
        <f t="shared" si="4"/>
        <v>2000</v>
      </c>
      <c r="F32" s="425">
        <f t="shared" si="0"/>
        <v>0</v>
      </c>
      <c r="G32" s="6"/>
      <c r="H32" s="6">
        <v>562</v>
      </c>
      <c r="I32" s="989">
        <f t="shared" si="1"/>
        <v>0.28100000000000003</v>
      </c>
      <c r="J32" s="6">
        <v>37</v>
      </c>
      <c r="K32" s="989">
        <f t="shared" si="2"/>
        <v>14.189189189189189</v>
      </c>
      <c r="L32" s="989">
        <f t="shared" si="3"/>
        <v>0.28100000000000003</v>
      </c>
      <c r="M32" s="6">
        <f>VLOOKUP(A32,'Ingresos Proyecciones'!$A$11:$P$121,LOOKUP($O$190,'Ingresos Proyecciones'!$C$9:$P$9,'Ingresos Proyecciones'!$C$178:$P$178),FALSE)</f>
        <v>2000</v>
      </c>
    </row>
    <row r="33" spans="1:13">
      <c r="A33" s="434" t="s">
        <v>820</v>
      </c>
      <c r="B33" s="441" t="s">
        <v>821</v>
      </c>
      <c r="C33" s="887">
        <f>VLOOKUP(A33,'Ingresos Proyecciones'!$A$11:$P$121,LOOKUP($C$25,'Ingresos Proyecciones'!$C$9:$P$9,'Ingresos Proyecciones'!$C$178:$P$178),FALSE)</f>
        <v>45000</v>
      </c>
      <c r="D33" s="6">
        <v>45000</v>
      </c>
      <c r="E33" s="6">
        <f t="shared" si="4"/>
        <v>45000</v>
      </c>
      <c r="F33" s="425">
        <f t="shared" si="0"/>
        <v>0</v>
      </c>
      <c r="G33" s="6"/>
      <c r="H33" s="6">
        <v>31266</v>
      </c>
      <c r="I33" s="989">
        <f t="shared" si="1"/>
        <v>0.69479999999999997</v>
      </c>
      <c r="J33" s="6">
        <v>20693</v>
      </c>
      <c r="K33" s="989">
        <f t="shared" si="2"/>
        <v>0.5109457304402456</v>
      </c>
      <c r="L33" s="989">
        <f t="shared" si="3"/>
        <v>0.69479999999999997</v>
      </c>
      <c r="M33" s="6">
        <f>VLOOKUP(A33,'Ingresos Proyecciones'!$A$11:$P$121,LOOKUP($O$190,'Ingresos Proyecciones'!$C$9:$P$9,'Ingresos Proyecciones'!$C$178:$P$178),FALSE)</f>
        <v>45000</v>
      </c>
    </row>
    <row r="34" spans="1:13" hidden="1">
      <c r="A34" s="434" t="s">
        <v>822</v>
      </c>
      <c r="B34" s="441" t="s">
        <v>823</v>
      </c>
      <c r="C34" s="887">
        <f>VLOOKUP(A34,'Ingresos Proyecciones'!$A$11:$P$121,LOOKUP($C$25,'Ingresos Proyecciones'!$C$9:$P$9,'Ingresos Proyecciones'!$C$178:$P$178),FALSE)</f>
        <v>0</v>
      </c>
      <c r="D34" s="6"/>
      <c r="E34" s="6">
        <f t="shared" si="4"/>
        <v>0</v>
      </c>
      <c r="F34" s="425">
        <f t="shared" si="0"/>
        <v>0</v>
      </c>
      <c r="G34" s="6"/>
      <c r="H34" s="6"/>
      <c r="I34" s="989" t="e">
        <f t="shared" si="1"/>
        <v>#DIV/0!</v>
      </c>
      <c r="J34" s="6"/>
      <c r="K34" s="989" t="e">
        <f t="shared" si="2"/>
        <v>#DIV/0!</v>
      </c>
      <c r="L34" s="989" t="e">
        <f t="shared" si="3"/>
        <v>#DIV/0!</v>
      </c>
      <c r="M34" s="6">
        <f>VLOOKUP(A34,'Ingresos Proyecciones'!$A$11:$P$121,LOOKUP($O$190,'Ingresos Proyecciones'!$C$9:$P$9,'Ingresos Proyecciones'!$C$178:$P$178),FALSE)</f>
        <v>0</v>
      </c>
    </row>
    <row r="35" spans="1:13">
      <c r="A35" s="434" t="s">
        <v>824</v>
      </c>
      <c r="B35" s="441" t="s">
        <v>825</v>
      </c>
      <c r="C35" s="887">
        <f>VLOOKUP(A35,'Ingresos Proyecciones'!$A$11:$P$121,LOOKUP($C$25,'Ingresos Proyecciones'!$C$9:$P$9,'Ingresos Proyecciones'!$C$178:$P$178),FALSE)</f>
        <v>200</v>
      </c>
      <c r="D35" s="6">
        <v>200</v>
      </c>
      <c r="E35" s="6">
        <f t="shared" si="4"/>
        <v>200</v>
      </c>
      <c r="F35" s="425">
        <f t="shared" si="0"/>
        <v>0</v>
      </c>
      <c r="G35" s="6"/>
      <c r="H35" s="6">
        <v>0</v>
      </c>
      <c r="I35" s="989">
        <f t="shared" si="1"/>
        <v>0</v>
      </c>
      <c r="J35" s="6">
        <v>175</v>
      </c>
      <c r="K35" s="989">
        <f t="shared" si="2"/>
        <v>-1</v>
      </c>
      <c r="L35" s="989">
        <f t="shared" si="3"/>
        <v>0</v>
      </c>
      <c r="M35" s="6">
        <f>VLOOKUP(A35,'Ingresos Proyecciones'!$A$11:$P$121,LOOKUP($O$190,'Ingresos Proyecciones'!$C$9:$P$9,'Ingresos Proyecciones'!$C$178:$P$178),FALSE)</f>
        <v>200</v>
      </c>
    </row>
    <row r="36" spans="1:13">
      <c r="A36" s="434" t="s">
        <v>826</v>
      </c>
      <c r="B36" s="441" t="s">
        <v>827</v>
      </c>
      <c r="C36" s="887">
        <f>VLOOKUP(A36,'Ingresos Proyecciones'!$A$11:$P$121,LOOKUP($C$25,'Ingresos Proyecciones'!$C$9:$P$9,'Ingresos Proyecciones'!$C$178:$P$178),FALSE)</f>
        <v>3500</v>
      </c>
      <c r="D36" s="6">
        <v>3500</v>
      </c>
      <c r="E36" s="6">
        <f t="shared" si="4"/>
        <v>3500</v>
      </c>
      <c r="F36" s="425">
        <f t="shared" si="0"/>
        <v>0</v>
      </c>
      <c r="G36" s="6"/>
      <c r="H36" s="6">
        <v>2986</v>
      </c>
      <c r="I36" s="989">
        <f t="shared" si="1"/>
        <v>0.85314285714285709</v>
      </c>
      <c r="J36" s="6">
        <v>2621</v>
      </c>
      <c r="K36" s="989">
        <f t="shared" si="2"/>
        <v>0.13925982449446783</v>
      </c>
      <c r="L36" s="989">
        <f t="shared" si="3"/>
        <v>0.85314285714285709</v>
      </c>
      <c r="M36" s="6">
        <f>VLOOKUP(A36,'Ingresos Proyecciones'!$A$11:$P$121,LOOKUP($O$190,'Ingresos Proyecciones'!$C$9:$P$9,'Ingresos Proyecciones'!$C$178:$P$178),FALSE)</f>
        <v>3500</v>
      </c>
    </row>
    <row r="37" spans="1:13">
      <c r="A37" s="434" t="s">
        <v>828</v>
      </c>
      <c r="B37" s="441" t="s">
        <v>906</v>
      </c>
      <c r="C37" s="887">
        <f>VLOOKUP(A37,'Ingresos Proyecciones'!$A$11:$P$121,LOOKUP($C$25,'Ingresos Proyecciones'!$C$9:$P$9,'Ingresos Proyecciones'!$C$178:$P$178),FALSE)</f>
        <v>6000</v>
      </c>
      <c r="D37" s="6">
        <v>6000</v>
      </c>
      <c r="E37" s="6">
        <f t="shared" si="4"/>
        <v>6000</v>
      </c>
      <c r="F37" s="425">
        <f t="shared" si="0"/>
        <v>0</v>
      </c>
      <c r="G37" s="6"/>
      <c r="H37" s="6">
        <v>4369</v>
      </c>
      <c r="I37" s="989">
        <f t="shared" si="1"/>
        <v>0.72816666666666663</v>
      </c>
      <c r="J37" s="6">
        <v>2673</v>
      </c>
      <c r="K37" s="989">
        <f t="shared" si="2"/>
        <v>0.63449307893752338</v>
      </c>
      <c r="L37" s="989">
        <f t="shared" si="3"/>
        <v>0.72816666666666663</v>
      </c>
      <c r="M37" s="6">
        <f>VLOOKUP(A37,'Ingresos Proyecciones'!$A$11:$P$121,LOOKUP($O$190,'Ingresos Proyecciones'!$C$9:$P$9,'Ingresos Proyecciones'!$C$178:$P$178),FALSE)</f>
        <v>6000</v>
      </c>
    </row>
    <row r="38" spans="1:13">
      <c r="A38" s="434" t="s">
        <v>829</v>
      </c>
      <c r="B38" s="441" t="s">
        <v>830</v>
      </c>
      <c r="C38" s="887">
        <f>VLOOKUP(A38,'Ingresos Proyecciones'!$A$11:$P$121,LOOKUP($C$25,'Ingresos Proyecciones'!$C$9:$P$9,'Ingresos Proyecciones'!$C$178:$P$178),FALSE)</f>
        <v>700</v>
      </c>
      <c r="D38" s="6">
        <v>700</v>
      </c>
      <c r="E38" s="6">
        <f t="shared" si="4"/>
        <v>700</v>
      </c>
      <c r="F38" s="425">
        <f t="shared" si="0"/>
        <v>0</v>
      </c>
      <c r="G38" s="6"/>
      <c r="H38" s="6">
        <v>0</v>
      </c>
      <c r="I38" s="989">
        <f t="shared" si="1"/>
        <v>0</v>
      </c>
      <c r="J38" s="6">
        <v>0</v>
      </c>
      <c r="K38" s="989">
        <v>0</v>
      </c>
      <c r="L38" s="989">
        <f t="shared" si="3"/>
        <v>0</v>
      </c>
      <c r="M38" s="6">
        <f>VLOOKUP(A38,'Ingresos Proyecciones'!$A$11:$P$121,LOOKUP($O$190,'Ingresos Proyecciones'!$C$9:$P$9,'Ingresos Proyecciones'!$C$178:$P$178),FALSE)</f>
        <v>700</v>
      </c>
    </row>
    <row r="39" spans="1:13">
      <c r="A39" s="434" t="s">
        <v>831</v>
      </c>
      <c r="B39" s="441" t="s">
        <v>908</v>
      </c>
      <c r="C39" s="887">
        <f>VLOOKUP(A39,'Ingresos Proyecciones'!$A$11:$P$121,LOOKUP($C$25,'Ingresos Proyecciones'!$C$9:$P$9,'Ingresos Proyecciones'!$C$178:$P$178),FALSE)</f>
        <v>2000</v>
      </c>
      <c r="D39" s="6">
        <v>2000</v>
      </c>
      <c r="E39" s="6">
        <f t="shared" si="4"/>
        <v>2000</v>
      </c>
      <c r="F39" s="425">
        <f t="shared" si="0"/>
        <v>0</v>
      </c>
      <c r="G39" s="6"/>
      <c r="H39" s="6">
        <v>185</v>
      </c>
      <c r="I39" s="989">
        <f t="shared" si="1"/>
        <v>9.2499999999999999E-2</v>
      </c>
      <c r="J39" s="6">
        <v>285</v>
      </c>
      <c r="K39" s="989">
        <f t="shared" ref="K39:K51" si="5">+(H39/J39)-1</f>
        <v>-0.35087719298245612</v>
      </c>
      <c r="L39" s="989">
        <f t="shared" si="3"/>
        <v>9.2499999999999999E-2</v>
      </c>
      <c r="M39" s="6">
        <f>VLOOKUP(A39,'Ingresos Proyecciones'!$A$11:$P$121,LOOKUP($O$190,'Ingresos Proyecciones'!$C$9:$P$9,'Ingresos Proyecciones'!$C$178:$P$178),FALSE)</f>
        <v>2000</v>
      </c>
    </row>
    <row r="40" spans="1:13">
      <c r="A40" s="434" t="s">
        <v>832</v>
      </c>
      <c r="B40" s="441" t="s">
        <v>907</v>
      </c>
      <c r="C40" s="887">
        <f>VLOOKUP(A40,'Ingresos Proyecciones'!$A$11:$P$121,LOOKUP($C$25,'Ingresos Proyecciones'!$C$9:$P$9,'Ingresos Proyecciones'!$C$178:$P$178),FALSE)</f>
        <v>1000</v>
      </c>
      <c r="D40" s="6">
        <v>1000</v>
      </c>
      <c r="E40" s="6">
        <f t="shared" si="4"/>
        <v>1000</v>
      </c>
      <c r="F40" s="425">
        <f t="shared" si="0"/>
        <v>0</v>
      </c>
      <c r="G40" s="6"/>
      <c r="H40" s="6">
        <v>420</v>
      </c>
      <c r="I40" s="989">
        <f t="shared" si="1"/>
        <v>0.42</v>
      </c>
      <c r="J40" s="6">
        <v>235</v>
      </c>
      <c r="K40" s="989">
        <f t="shared" si="5"/>
        <v>0.7872340425531914</v>
      </c>
      <c r="L40" s="989">
        <f t="shared" si="3"/>
        <v>0.42</v>
      </c>
      <c r="M40" s="6">
        <f>VLOOKUP(A40,'Ingresos Proyecciones'!$A$11:$P$121,LOOKUP($O$190,'Ingresos Proyecciones'!$C$9:$P$9,'Ingresos Proyecciones'!$C$178:$P$178),FALSE)</f>
        <v>1000</v>
      </c>
    </row>
    <row r="41" spans="1:13" hidden="1">
      <c r="A41" s="434" t="s">
        <v>833</v>
      </c>
      <c r="B41" s="441" t="s">
        <v>834</v>
      </c>
      <c r="C41" s="887">
        <f>VLOOKUP(A41,'Ingresos Proyecciones'!$A$11:$P$121,LOOKUP($C$25,'Ingresos Proyecciones'!$C$9:$P$9,'Ingresos Proyecciones'!$C$178:$P$178),FALSE)</f>
        <v>0</v>
      </c>
      <c r="D41" s="6"/>
      <c r="E41" s="6">
        <f t="shared" si="4"/>
        <v>0</v>
      </c>
      <c r="F41" s="425">
        <f t="shared" si="0"/>
        <v>0</v>
      </c>
      <c r="G41" s="6"/>
      <c r="H41" s="6"/>
      <c r="I41" s="989" t="e">
        <f t="shared" si="1"/>
        <v>#DIV/0!</v>
      </c>
      <c r="J41" s="6"/>
      <c r="K41" s="989" t="e">
        <f t="shared" si="5"/>
        <v>#DIV/0!</v>
      </c>
      <c r="L41" s="989" t="e">
        <f t="shared" si="3"/>
        <v>#DIV/0!</v>
      </c>
      <c r="M41" s="6">
        <f>VLOOKUP(A41,'Ingresos Proyecciones'!$A$11:$P$121,LOOKUP($O$190,'Ingresos Proyecciones'!$C$9:$P$9,'Ingresos Proyecciones'!$C$178:$P$178),FALSE)</f>
        <v>0</v>
      </c>
    </row>
    <row r="42" spans="1:13">
      <c r="A42" s="434" t="s">
        <v>835</v>
      </c>
      <c r="B42" s="441" t="s">
        <v>836</v>
      </c>
      <c r="C42" s="888">
        <f>SUM(C43:C47)</f>
        <v>28689</v>
      </c>
      <c r="D42" s="32">
        <f>SUM(D43:D47)</f>
        <v>21000</v>
      </c>
      <c r="E42" s="32">
        <f>SUM(E43:E47)</f>
        <v>28689</v>
      </c>
      <c r="F42" s="432">
        <f t="shared" si="0"/>
        <v>7689</v>
      </c>
      <c r="G42" s="32">
        <f>SUM(G43:G47)</f>
        <v>0</v>
      </c>
      <c r="H42" s="32">
        <f>SUM(H43:H47)</f>
        <v>22362</v>
      </c>
      <c r="I42" s="424">
        <f t="shared" si="1"/>
        <v>0.77946251176409076</v>
      </c>
      <c r="J42" s="32">
        <f>SUM(J43:J47)</f>
        <v>13704</v>
      </c>
      <c r="K42" s="424">
        <f t="shared" si="5"/>
        <v>0.63178633975481602</v>
      </c>
      <c r="L42" s="424">
        <f t="shared" si="3"/>
        <v>0.77946251176409076</v>
      </c>
      <c r="M42" s="32">
        <f>SUM(M43:M47)</f>
        <v>28689</v>
      </c>
    </row>
    <row r="43" spans="1:13">
      <c r="A43" s="434" t="s">
        <v>837</v>
      </c>
      <c r="B43" s="441" t="str">
        <f>+'Ingresos Proyecciones'!B28</f>
        <v xml:space="preserve">   Estampilla Pro-Cultura</v>
      </c>
      <c r="C43" s="887">
        <f>VLOOKUP(A43,'Ingresos Proyecciones'!$A$11:$P$121,LOOKUP($C$25,'Ingresos Proyecciones'!$C$9:$P$9,'Ingresos Proyecciones'!$C$178:$P$178),FALSE)</f>
        <v>9731</v>
      </c>
      <c r="D43" s="6">
        <v>7000</v>
      </c>
      <c r="E43" s="6">
        <f t="shared" ref="E43:E49" si="6">+C43</f>
        <v>9731</v>
      </c>
      <c r="F43" s="425">
        <f t="shared" si="0"/>
        <v>2731</v>
      </c>
      <c r="G43" s="6"/>
      <c r="H43" s="6">
        <v>7454</v>
      </c>
      <c r="I43" s="989">
        <f t="shared" si="1"/>
        <v>0.76600554927551123</v>
      </c>
      <c r="J43" s="6">
        <v>4568</v>
      </c>
      <c r="K43" s="989">
        <f t="shared" si="5"/>
        <v>0.63178633975481602</v>
      </c>
      <c r="L43" s="989">
        <f t="shared" si="3"/>
        <v>0.76600554927551123</v>
      </c>
      <c r="M43" s="6">
        <f>VLOOKUP(A43,'Ingresos Proyecciones'!$A$11:$P$121,LOOKUP($O$190,'Ingresos Proyecciones'!$C$9:$P$9,'Ingresos Proyecciones'!$C$178:$P$178),FALSE)</f>
        <v>9731</v>
      </c>
    </row>
    <row r="44" spans="1:13">
      <c r="A44" s="434" t="s">
        <v>838</v>
      </c>
      <c r="B44" s="441" t="str">
        <f>+'Ingresos Proyecciones'!B29</f>
        <v xml:space="preserve">   Estampilla Pro-Deporte</v>
      </c>
      <c r="C44" s="887">
        <f>VLOOKUP(A44,'Ingresos Proyecciones'!$A$11:$P$121,LOOKUP($C$25,'Ingresos Proyecciones'!$C$9:$P$9,'Ingresos Proyecciones'!$C$178:$P$178),FALSE)</f>
        <v>9490</v>
      </c>
      <c r="D44" s="6">
        <v>7000</v>
      </c>
      <c r="E44" s="6">
        <f t="shared" si="6"/>
        <v>9490</v>
      </c>
      <c r="F44" s="425">
        <f t="shared" si="0"/>
        <v>2490</v>
      </c>
      <c r="G44" s="6"/>
      <c r="H44" s="6">
        <v>7454</v>
      </c>
      <c r="I44" s="989">
        <f t="shared" si="1"/>
        <v>0.7854583772391992</v>
      </c>
      <c r="J44" s="6">
        <v>4631</v>
      </c>
      <c r="K44" s="989">
        <f t="shared" si="5"/>
        <v>0.60958756208162379</v>
      </c>
      <c r="L44" s="989">
        <f t="shared" si="3"/>
        <v>0.7854583772391992</v>
      </c>
      <c r="M44" s="6">
        <f>VLOOKUP(A44,'Ingresos Proyecciones'!$A$11:$P$121,LOOKUP($O$190,'Ingresos Proyecciones'!$C$9:$P$9,'Ingresos Proyecciones'!$C$178:$P$178),FALSE)</f>
        <v>9490</v>
      </c>
    </row>
    <row r="45" spans="1:13">
      <c r="A45" s="434" t="s">
        <v>839</v>
      </c>
      <c r="B45" s="441" t="str">
        <f>+'Ingresos Proyecciones'!B30</f>
        <v xml:space="preserve">   Estampilla Pro-Electrificacion Rural</v>
      </c>
      <c r="C45" s="887">
        <f>VLOOKUP(A45,'Ingresos Proyecciones'!$A$11:$P$121,LOOKUP($C$25,'Ingresos Proyecciones'!$C$9:$P$9,'Ingresos Proyecciones'!$C$178:$P$178),FALSE)</f>
        <v>9468</v>
      </c>
      <c r="D45" s="6">
        <v>7000</v>
      </c>
      <c r="E45" s="6">
        <f t="shared" si="6"/>
        <v>9468</v>
      </c>
      <c r="F45" s="425">
        <f t="shared" si="0"/>
        <v>2468</v>
      </c>
      <c r="G45" s="6"/>
      <c r="H45" s="6">
        <v>7454</v>
      </c>
      <c r="I45" s="989">
        <f t="shared" si="1"/>
        <v>0.78728348119983105</v>
      </c>
      <c r="J45" s="6">
        <v>4505</v>
      </c>
      <c r="K45" s="989">
        <f t="shared" si="5"/>
        <v>0.65460599334073244</v>
      </c>
      <c r="L45" s="989">
        <f t="shared" si="3"/>
        <v>0.78728348119983105</v>
      </c>
      <c r="M45" s="6">
        <f>VLOOKUP(A45,'Ingresos Proyecciones'!$A$11:$P$121,LOOKUP($O$190,'Ingresos Proyecciones'!$C$9:$P$9,'Ingresos Proyecciones'!$C$178:$P$178),FALSE)</f>
        <v>9468</v>
      </c>
    </row>
    <row r="46" spans="1:13" hidden="1">
      <c r="A46" s="434" t="s">
        <v>841</v>
      </c>
      <c r="B46" s="441" t="s">
        <v>842</v>
      </c>
      <c r="C46" s="887">
        <f>VLOOKUP(A46,'Ingresos Proyecciones'!$A$11:$P$121,LOOKUP($C$25,'Ingresos Proyecciones'!$C$9:$P$9,'Ingresos Proyecciones'!$C$178:$P$178),FALSE)</f>
        <v>0</v>
      </c>
      <c r="D46" s="6"/>
      <c r="E46" s="6">
        <f t="shared" si="6"/>
        <v>0</v>
      </c>
      <c r="F46" s="425">
        <f t="shared" si="0"/>
        <v>0</v>
      </c>
      <c r="G46" s="6"/>
      <c r="H46" s="6"/>
      <c r="I46" s="989" t="e">
        <f t="shared" si="1"/>
        <v>#DIV/0!</v>
      </c>
      <c r="J46" s="6"/>
      <c r="K46" s="989" t="e">
        <f t="shared" si="5"/>
        <v>#DIV/0!</v>
      </c>
      <c r="L46" s="989" t="e">
        <f t="shared" si="3"/>
        <v>#DIV/0!</v>
      </c>
      <c r="M46" s="6">
        <f>VLOOKUP(A46,'Ingresos Proyecciones'!$A$11:$P$121,LOOKUP($O$190,'Ingresos Proyecciones'!$C$9:$P$9,'Ingresos Proyecciones'!$C$178:$P$178),FALSE)</f>
        <v>0</v>
      </c>
    </row>
    <row r="47" spans="1:13" hidden="1">
      <c r="A47" s="434" t="s">
        <v>843</v>
      </c>
      <c r="B47" s="441" t="s">
        <v>844</v>
      </c>
      <c r="C47" s="887">
        <f>VLOOKUP(A47,'Ingresos Proyecciones'!$A$11:$P$121,LOOKUP($C$25,'Ingresos Proyecciones'!$C$9:$P$9,'Ingresos Proyecciones'!$C$178:$P$178),FALSE)</f>
        <v>0</v>
      </c>
      <c r="D47" s="6"/>
      <c r="E47" s="6">
        <f t="shared" si="6"/>
        <v>0</v>
      </c>
      <c r="F47" s="425">
        <f t="shared" si="0"/>
        <v>0</v>
      </c>
      <c r="G47" s="6"/>
      <c r="H47" s="6"/>
      <c r="I47" s="989" t="e">
        <f t="shared" si="1"/>
        <v>#DIV/0!</v>
      </c>
      <c r="J47" s="6"/>
      <c r="K47" s="989" t="e">
        <f t="shared" si="5"/>
        <v>#DIV/0!</v>
      </c>
      <c r="L47" s="989" t="e">
        <f t="shared" si="3"/>
        <v>#DIV/0!</v>
      </c>
      <c r="M47" s="6">
        <f>VLOOKUP(A47,'Ingresos Proyecciones'!$A$11:$P$121,LOOKUP($O$190,'Ingresos Proyecciones'!$C$9:$P$9,'Ingresos Proyecciones'!$C$178:$P$178),FALSE)</f>
        <v>0</v>
      </c>
    </row>
    <row r="48" spans="1:13" hidden="1">
      <c r="A48" s="434" t="s">
        <v>845</v>
      </c>
      <c r="B48" s="441" t="s">
        <v>846</v>
      </c>
      <c r="C48" s="887">
        <f>VLOOKUP(A48,'Ingresos Proyecciones'!$A$11:$P$121,LOOKUP($C$25,'Ingresos Proyecciones'!$C$9:$P$9,'Ingresos Proyecciones'!$C$178:$P$178),FALSE)</f>
        <v>0</v>
      </c>
      <c r="D48" s="6"/>
      <c r="E48" s="6">
        <f t="shared" si="6"/>
        <v>0</v>
      </c>
      <c r="F48" s="425">
        <f t="shared" si="0"/>
        <v>0</v>
      </c>
      <c r="G48" s="6"/>
      <c r="H48" s="6"/>
      <c r="I48" s="989" t="e">
        <f t="shared" si="1"/>
        <v>#DIV/0!</v>
      </c>
      <c r="J48" s="6"/>
      <c r="K48" s="989" t="e">
        <f t="shared" si="5"/>
        <v>#DIV/0!</v>
      </c>
      <c r="L48" s="989" t="e">
        <f t="shared" si="3"/>
        <v>#DIV/0!</v>
      </c>
      <c r="M48" s="6">
        <f>VLOOKUP(A48,'Ingresos Proyecciones'!$A$11:$P$121,LOOKUP($O$190,'Ingresos Proyecciones'!$C$9:$P$9,'Ingresos Proyecciones'!$C$178:$P$178),FALSE)</f>
        <v>0</v>
      </c>
    </row>
    <row r="49" spans="1:14" hidden="1">
      <c r="A49" s="434" t="s">
        <v>847</v>
      </c>
      <c r="B49" s="440" t="s">
        <v>848</v>
      </c>
      <c r="C49" s="887">
        <f>VLOOKUP(A49,'Ingresos Proyecciones'!$A$11:$P$121,LOOKUP($C$25,'Ingresos Proyecciones'!$C$9:$P$9,'Ingresos Proyecciones'!$C$178:$P$178),FALSE)</f>
        <v>0</v>
      </c>
      <c r="D49" s="6"/>
      <c r="E49" s="6">
        <f t="shared" si="6"/>
        <v>0</v>
      </c>
      <c r="F49" s="425">
        <f t="shared" si="0"/>
        <v>0</v>
      </c>
      <c r="G49" s="6"/>
      <c r="H49" s="6"/>
      <c r="I49" s="989" t="e">
        <f t="shared" si="1"/>
        <v>#DIV/0!</v>
      </c>
      <c r="J49" s="6"/>
      <c r="K49" s="989" t="e">
        <f t="shared" si="5"/>
        <v>#DIV/0!</v>
      </c>
      <c r="L49" s="989" t="e">
        <f t="shared" si="3"/>
        <v>#DIV/0!</v>
      </c>
      <c r="M49" s="6">
        <f>VLOOKUP(A49,'Ingresos Proyecciones'!$A$11:$P$121,LOOKUP($O$190,'Ingresos Proyecciones'!$C$9:$P$9,'Ingresos Proyecciones'!$C$178:$P$178),FALSE)</f>
        <v>0</v>
      </c>
      <c r="N49" s="11"/>
    </row>
    <row r="50" spans="1:14">
      <c r="A50" s="434" t="s">
        <v>849</v>
      </c>
      <c r="B50" s="440" t="s">
        <v>851</v>
      </c>
      <c r="C50" s="888">
        <f>SUM(C51:C54)+C57+C86+C82</f>
        <v>6502952</v>
      </c>
      <c r="D50" s="32">
        <f>SUM(D51:D54)+D57+D86+D82</f>
        <v>4283635</v>
      </c>
      <c r="E50" s="32">
        <f>SUM(E51:E54)+E57+E86+E82</f>
        <v>6502952</v>
      </c>
      <c r="F50" s="432">
        <f t="shared" si="0"/>
        <v>2219317</v>
      </c>
      <c r="G50" s="32">
        <f>SUM(G51:G54)+G57+G86+G82</f>
        <v>0</v>
      </c>
      <c r="H50" s="32">
        <f>SUM(H51:H54)+H57+H86+H82</f>
        <v>3456277</v>
      </c>
      <c r="I50" s="424">
        <f t="shared" si="1"/>
        <v>0.53149354324005471</v>
      </c>
      <c r="J50" s="32">
        <f>SUM(J51:J54)+J57+J86+J82</f>
        <v>3116936</v>
      </c>
      <c r="K50" s="424">
        <f t="shared" si="5"/>
        <v>0.10887005700469943</v>
      </c>
      <c r="L50" s="424">
        <f t="shared" si="3"/>
        <v>0.53149354324005471</v>
      </c>
      <c r="M50" s="32">
        <f>SUM(M51:M54)+M57+M86+M82</f>
        <v>6502952</v>
      </c>
    </row>
    <row r="51" spans="1:14">
      <c r="A51" s="434" t="s">
        <v>852</v>
      </c>
      <c r="B51" s="441" t="s">
        <v>853</v>
      </c>
      <c r="C51" s="889">
        <f>VLOOKUP(A51,'Ingresos Proyecciones'!$A$11:$P$121,LOOKUP($C$25,'Ingresos Proyecciones'!$C$9:$P$9,'Ingresos Proyecciones'!$C$178:$P$178),FALSE)</f>
        <v>60700</v>
      </c>
      <c r="D51" s="6">
        <v>60700</v>
      </c>
      <c r="E51" s="6">
        <f>+C51</f>
        <v>60700</v>
      </c>
      <c r="F51" s="44">
        <f t="shared" si="0"/>
        <v>0</v>
      </c>
      <c r="G51" s="6"/>
      <c r="H51" s="6">
        <f>38475+32686</f>
        <v>71161</v>
      </c>
      <c r="I51" s="989">
        <f t="shared" si="1"/>
        <v>1.172339373970346</v>
      </c>
      <c r="J51" s="6">
        <f>20978+3039</f>
        <v>24017</v>
      </c>
      <c r="K51" s="989">
        <f t="shared" si="5"/>
        <v>1.9629429154349003</v>
      </c>
      <c r="L51" s="989">
        <f t="shared" si="3"/>
        <v>1.172339373970346</v>
      </c>
      <c r="M51" s="6">
        <f>VLOOKUP(A51,'Ingresos Proyecciones'!$A$11:$P$121,LOOKUP($O$190,'Ingresos Proyecciones'!$C$9:$P$9,'Ingresos Proyecciones'!$C$178:$P$178),FALSE)</f>
        <v>60700</v>
      </c>
    </row>
    <row r="52" spans="1:14">
      <c r="A52" s="434" t="s">
        <v>854</v>
      </c>
      <c r="B52" s="441" t="s">
        <v>909</v>
      </c>
      <c r="C52" s="887">
        <f>VLOOKUP(A52,'Ingresos Proyecciones'!$A$11:$P$121,LOOKUP($C$25,'Ingresos Proyecciones'!$C$9:$P$9,'Ingresos Proyecciones'!$C$178:$P$178),FALSE)</f>
        <v>5000</v>
      </c>
      <c r="D52" s="6">
        <v>5000</v>
      </c>
      <c r="E52" s="6">
        <f>+C52</f>
        <v>5000</v>
      </c>
      <c r="F52" s="425">
        <f t="shared" si="0"/>
        <v>0</v>
      </c>
      <c r="G52" s="6"/>
      <c r="H52" s="6">
        <v>4540</v>
      </c>
      <c r="I52" s="989">
        <f t="shared" si="1"/>
        <v>0.90800000000000003</v>
      </c>
      <c r="J52" s="6">
        <v>0</v>
      </c>
      <c r="K52" s="989">
        <v>1</v>
      </c>
      <c r="L52" s="989">
        <f t="shared" si="3"/>
        <v>0.90800000000000003</v>
      </c>
      <c r="M52" s="6">
        <f>VLOOKUP(A52,'Ingresos Proyecciones'!$A$11:$P$121,LOOKUP($O$190,'Ingresos Proyecciones'!$C$9:$P$9,'Ingresos Proyecciones'!$C$178:$P$178),FALSE)</f>
        <v>5000</v>
      </c>
    </row>
    <row r="53" spans="1:14" hidden="1">
      <c r="A53" s="434" t="s">
        <v>855</v>
      </c>
      <c r="B53" s="441" t="s">
        <v>856</v>
      </c>
      <c r="C53" s="887">
        <f>VLOOKUP(A53,'Ingresos Proyecciones'!$A$11:$P$121,LOOKUP($C$25,'Ingresos Proyecciones'!$C$9:$P$9,'Ingresos Proyecciones'!$C$178:$P$178),FALSE)</f>
        <v>0</v>
      </c>
      <c r="D53" s="6"/>
      <c r="E53" s="6">
        <f>+C53</f>
        <v>0</v>
      </c>
      <c r="F53" s="425">
        <f t="shared" si="0"/>
        <v>0</v>
      </c>
      <c r="G53" s="6"/>
      <c r="H53" s="6"/>
      <c r="I53" s="989" t="e">
        <f t="shared" si="1"/>
        <v>#DIV/0!</v>
      </c>
      <c r="J53" s="6"/>
      <c r="K53" s="989" t="e">
        <f t="shared" ref="K53:K81" si="7">+(H53/J53)-1</f>
        <v>#DIV/0!</v>
      </c>
      <c r="L53" s="989" t="e">
        <f t="shared" si="3"/>
        <v>#DIV/0!</v>
      </c>
      <c r="M53" s="6">
        <f>VLOOKUP(A53,'Ingresos Proyecciones'!$A$11:$P$121,LOOKUP($O$190,'Ingresos Proyecciones'!$C$9:$P$9,'Ingresos Proyecciones'!$C$178:$P$178),FALSE)</f>
        <v>0</v>
      </c>
    </row>
    <row r="54" spans="1:14" hidden="1">
      <c r="A54" s="434" t="s">
        <v>857</v>
      </c>
      <c r="B54" s="441" t="s">
        <v>858</v>
      </c>
      <c r="C54" s="888">
        <f>SUM(C55:C56)</f>
        <v>0</v>
      </c>
      <c r="D54" s="32">
        <f>SUM(D55:D56)</f>
        <v>0</v>
      </c>
      <c r="E54" s="32">
        <f>SUM(E55:E56)</f>
        <v>0</v>
      </c>
      <c r="F54" s="425">
        <f t="shared" si="0"/>
        <v>0</v>
      </c>
      <c r="G54" s="32">
        <f>SUM(G55:G56)</f>
        <v>0</v>
      </c>
      <c r="H54" s="32">
        <f>SUM(H55:H56)</f>
        <v>0</v>
      </c>
      <c r="I54" s="989" t="e">
        <f t="shared" si="1"/>
        <v>#DIV/0!</v>
      </c>
      <c r="J54" s="32">
        <f>SUM(J55:J56)</f>
        <v>0</v>
      </c>
      <c r="K54" s="989" t="e">
        <f t="shared" si="7"/>
        <v>#DIV/0!</v>
      </c>
      <c r="L54" s="989" t="e">
        <f t="shared" si="3"/>
        <v>#DIV/0!</v>
      </c>
      <c r="M54" s="32">
        <f>SUM(M55:M56)</f>
        <v>0</v>
      </c>
    </row>
    <row r="55" spans="1:14" hidden="1">
      <c r="A55" s="434" t="s">
        <v>859</v>
      </c>
      <c r="B55" s="441" t="s">
        <v>860</v>
      </c>
      <c r="C55" s="887">
        <f>VLOOKUP(A55,'Ingresos Proyecciones'!$A$11:$P$121,LOOKUP($C$25,'Ingresos Proyecciones'!$C$9:$P$9,'Ingresos Proyecciones'!$C$178:$P$178),FALSE)</f>
        <v>0</v>
      </c>
      <c r="D55" s="6"/>
      <c r="E55" s="6">
        <f>+C55</f>
        <v>0</v>
      </c>
      <c r="F55" s="425">
        <f t="shared" si="0"/>
        <v>0</v>
      </c>
      <c r="G55" s="6"/>
      <c r="H55" s="6"/>
      <c r="I55" s="989" t="e">
        <f t="shared" si="1"/>
        <v>#DIV/0!</v>
      </c>
      <c r="J55" s="6"/>
      <c r="K55" s="989" t="e">
        <f t="shared" si="7"/>
        <v>#DIV/0!</v>
      </c>
      <c r="L55" s="989" t="e">
        <f t="shared" si="3"/>
        <v>#DIV/0!</v>
      </c>
      <c r="M55" s="6">
        <f>VLOOKUP(A55,'Ingresos Proyecciones'!$A$11:$P$121,LOOKUP($O$190,'Ingresos Proyecciones'!$C$9:$P$9,'Ingresos Proyecciones'!$C$178:$P$178),FALSE)</f>
        <v>0</v>
      </c>
    </row>
    <row r="56" spans="1:14" hidden="1">
      <c r="A56" s="434" t="s">
        <v>861</v>
      </c>
      <c r="B56" s="441" t="s">
        <v>862</v>
      </c>
      <c r="C56" s="887">
        <f>VLOOKUP(A56,'Ingresos Proyecciones'!$A$11:$P$121,LOOKUP($C$25,'Ingresos Proyecciones'!$C$9:$P$9,'Ingresos Proyecciones'!$C$178:$P$178),FALSE)</f>
        <v>0</v>
      </c>
      <c r="D56" s="6"/>
      <c r="E56" s="6">
        <f>+C56</f>
        <v>0</v>
      </c>
      <c r="F56" s="425">
        <f t="shared" si="0"/>
        <v>0</v>
      </c>
      <c r="G56" s="6"/>
      <c r="H56" s="6"/>
      <c r="I56" s="989" t="e">
        <f t="shared" si="1"/>
        <v>#DIV/0!</v>
      </c>
      <c r="J56" s="6"/>
      <c r="K56" s="989" t="e">
        <f t="shared" si="7"/>
        <v>#DIV/0!</v>
      </c>
      <c r="L56" s="989" t="e">
        <f t="shared" si="3"/>
        <v>#DIV/0!</v>
      </c>
      <c r="M56" s="6">
        <f>VLOOKUP(A56,'Ingresos Proyecciones'!$A$11:$P$121,LOOKUP($O$190,'Ingresos Proyecciones'!$C$9:$P$9,'Ingresos Proyecciones'!$C$178:$P$178),FALSE)</f>
        <v>0</v>
      </c>
    </row>
    <row r="57" spans="1:14">
      <c r="A57" s="434" t="s">
        <v>863</v>
      </c>
      <c r="B57" s="440" t="s">
        <v>864</v>
      </c>
      <c r="C57" s="888">
        <f>+C61+C58+C74+C78</f>
        <v>5727609</v>
      </c>
      <c r="D57" s="32">
        <f>+D61+D58+D74+D78</f>
        <v>4217935</v>
      </c>
      <c r="E57" s="32">
        <f>+E61+E58+E74+E78</f>
        <v>5727609</v>
      </c>
      <c r="F57" s="432">
        <f t="shared" si="0"/>
        <v>1509674</v>
      </c>
      <c r="G57" s="32">
        <f>+G61+G58+G74+G78</f>
        <v>0</v>
      </c>
      <c r="H57" s="32">
        <f>+H61+H58+H74+H78</f>
        <v>3380576</v>
      </c>
      <c r="I57" s="424">
        <f t="shared" si="1"/>
        <v>0.59022464696874388</v>
      </c>
      <c r="J57" s="32">
        <f>+J61+J58+J74+J78</f>
        <v>3092919</v>
      </c>
      <c r="K57" s="424">
        <f t="shared" si="7"/>
        <v>9.3005022116647629E-2</v>
      </c>
      <c r="L57" s="424">
        <f t="shared" si="3"/>
        <v>0.59022464696874388</v>
      </c>
      <c r="M57" s="32">
        <f>+M61+M58+M74+M78</f>
        <v>5727609</v>
      </c>
    </row>
    <row r="58" spans="1:14">
      <c r="A58" s="434" t="s">
        <v>865</v>
      </c>
      <c r="B58" s="440" t="s">
        <v>866</v>
      </c>
      <c r="C58" s="888">
        <f>SUM(C59:C60)</f>
        <v>714656</v>
      </c>
      <c r="D58" s="32">
        <f>+D59+D60</f>
        <v>597339</v>
      </c>
      <c r="E58" s="32">
        <f>+E59+E60</f>
        <v>714656</v>
      </c>
      <c r="F58" s="432">
        <f t="shared" si="0"/>
        <v>117317</v>
      </c>
      <c r="G58" s="32">
        <f>+G59+G60</f>
        <v>0</v>
      </c>
      <c r="H58" s="32">
        <f>+H59+H60</f>
        <v>532088</v>
      </c>
      <c r="I58" s="424">
        <f t="shared" si="1"/>
        <v>0.74453723189898358</v>
      </c>
      <c r="J58" s="32">
        <f>+J59+J60</f>
        <v>444662</v>
      </c>
      <c r="K58" s="424">
        <f t="shared" si="7"/>
        <v>0.19661225829956241</v>
      </c>
      <c r="L58" s="424">
        <f t="shared" si="3"/>
        <v>0.74453723189898358</v>
      </c>
      <c r="M58" s="32">
        <f>+M59+M60</f>
        <v>714656</v>
      </c>
    </row>
    <row r="59" spans="1:14">
      <c r="A59" s="434" t="s">
        <v>867</v>
      </c>
      <c r="B59" s="440" t="s">
        <v>868</v>
      </c>
      <c r="C59" s="887">
        <f>VLOOKUP(A59,'Ingresos Proyecciones'!$A$11:$P$121,LOOKUP($C$25,'Ingresos Proyecciones'!$C$9:$P$9,'Ingresos Proyecciones'!$C$178:$P$178),FALSE)</f>
        <v>714656</v>
      </c>
      <c r="D59" s="6">
        <v>597339</v>
      </c>
      <c r="E59" s="6">
        <f>+C59</f>
        <v>714656</v>
      </c>
      <c r="F59" s="425">
        <f t="shared" ref="F59:F90" si="8">+E59-D59</f>
        <v>117317</v>
      </c>
      <c r="G59" s="6"/>
      <c r="H59" s="6">
        <v>532088</v>
      </c>
      <c r="I59" s="989">
        <f t="shared" ref="I59:I90" si="9">+H59/E59</f>
        <v>0.74453723189898358</v>
      </c>
      <c r="J59" s="6">
        <v>444662</v>
      </c>
      <c r="K59" s="989">
        <f t="shared" si="7"/>
        <v>0.19661225829956241</v>
      </c>
      <c r="L59" s="989">
        <f t="shared" ref="L59:L90" si="10">+H59/C59</f>
        <v>0.74453723189898358</v>
      </c>
      <c r="M59" s="6">
        <f>VLOOKUP(A59,'Ingresos Proyecciones'!$A$11:$P$121,LOOKUP($O$190,'Ingresos Proyecciones'!$C$9:$P$9,'Ingresos Proyecciones'!$C$178:$P$178),FALSE)</f>
        <v>714656</v>
      </c>
    </row>
    <row r="60" spans="1:14" hidden="1">
      <c r="A60" s="434" t="s">
        <v>869</v>
      </c>
      <c r="B60" s="440" t="s">
        <v>870</v>
      </c>
      <c r="C60" s="887">
        <f>VLOOKUP(A60,'Ingresos Proyecciones'!$A$11:$P$121,LOOKUP($C$25,'Ingresos Proyecciones'!$C$9:$P$9,'Ingresos Proyecciones'!$C$178:$P$178),FALSE)</f>
        <v>0</v>
      </c>
      <c r="D60" s="6"/>
      <c r="E60" s="6">
        <f>+C60</f>
        <v>0</v>
      </c>
      <c r="F60" s="425">
        <f t="shared" si="8"/>
        <v>0</v>
      </c>
      <c r="G60" s="6"/>
      <c r="H60" s="6"/>
      <c r="I60" s="989" t="e">
        <f t="shared" si="9"/>
        <v>#DIV/0!</v>
      </c>
      <c r="J60" s="6"/>
      <c r="K60" s="989" t="e">
        <f t="shared" si="7"/>
        <v>#DIV/0!</v>
      </c>
      <c r="L60" s="989" t="e">
        <f t="shared" si="10"/>
        <v>#DIV/0!</v>
      </c>
      <c r="M60" s="6">
        <f>VLOOKUP(A60,'Ingresos Proyecciones'!$A$11:$P$121,LOOKUP($O$190,'Ingresos Proyecciones'!$C$9:$P$9,'Ingresos Proyecciones'!$C$178:$P$178),FALSE)</f>
        <v>0</v>
      </c>
    </row>
    <row r="61" spans="1:14">
      <c r="A61" s="434" t="s">
        <v>871</v>
      </c>
      <c r="B61" s="440" t="s">
        <v>872</v>
      </c>
      <c r="C61" s="888">
        <f>+C62+C65+C71+C72+C73</f>
        <v>5005953</v>
      </c>
      <c r="D61" s="32">
        <f>+D62+D65+D71+D72+D73</f>
        <v>3613596</v>
      </c>
      <c r="E61" s="32">
        <f>+E62+E65+E71+E72+E73</f>
        <v>5005953</v>
      </c>
      <c r="F61" s="432">
        <f t="shared" si="8"/>
        <v>1392357</v>
      </c>
      <c r="G61" s="32">
        <f>+G62+G65+G71+G72+G73</f>
        <v>0</v>
      </c>
      <c r="H61" s="32">
        <f>+H62+H65+H71+H72+H73</f>
        <v>2845538</v>
      </c>
      <c r="I61" s="424">
        <f t="shared" si="9"/>
        <v>0.56843082625825692</v>
      </c>
      <c r="J61" s="32">
        <f>+J62+J65+J71+J72+J73</f>
        <v>2643427</v>
      </c>
      <c r="K61" s="424">
        <f t="shared" si="7"/>
        <v>7.6457946446033986E-2</v>
      </c>
      <c r="L61" s="424">
        <f t="shared" si="10"/>
        <v>0.56843082625825692</v>
      </c>
      <c r="M61" s="32">
        <f>+M62+M65+M71+M72+M73</f>
        <v>5005953</v>
      </c>
    </row>
    <row r="62" spans="1:14">
      <c r="A62" s="434" t="s">
        <v>873</v>
      </c>
      <c r="B62" s="440" t="s">
        <v>874</v>
      </c>
      <c r="C62" s="888">
        <f>SUM(C63:C64)</f>
        <v>426911</v>
      </c>
      <c r="D62" s="32">
        <f>SUM(D63:D64)</f>
        <v>352800</v>
      </c>
      <c r="E62" s="32">
        <f>SUM(E63:E64)</f>
        <v>426911</v>
      </c>
      <c r="F62" s="432">
        <f t="shared" si="8"/>
        <v>74111</v>
      </c>
      <c r="G62" s="32">
        <f>SUM(G63:G64)</f>
        <v>0</v>
      </c>
      <c r="H62" s="32">
        <f>SUM(H63:H64)</f>
        <v>301512</v>
      </c>
      <c r="I62" s="424">
        <f t="shared" si="9"/>
        <v>0.70626430333254475</v>
      </c>
      <c r="J62" s="32">
        <f>SUM(J63:J64)</f>
        <v>280072</v>
      </c>
      <c r="K62" s="424">
        <f t="shared" si="7"/>
        <v>7.6551743837298902E-2</v>
      </c>
      <c r="L62" s="424">
        <f t="shared" si="10"/>
        <v>0.70626430333254475</v>
      </c>
      <c r="M62" s="32">
        <f>SUM(M63:M64)</f>
        <v>426911</v>
      </c>
    </row>
    <row r="63" spans="1:14" hidden="1">
      <c r="A63" s="434" t="s">
        <v>875</v>
      </c>
      <c r="B63" s="441" t="s">
        <v>876</v>
      </c>
      <c r="C63" s="887">
        <f>VLOOKUP(A63,'Ingresos Proyecciones'!$A$11:$P$121,LOOKUP($C$25,'Ingresos Proyecciones'!$C$9:$P$9,'Ingresos Proyecciones'!$C$178:$P$178),FALSE)</f>
        <v>0</v>
      </c>
      <c r="D63" s="6"/>
      <c r="E63" s="6">
        <f>+C63</f>
        <v>0</v>
      </c>
      <c r="F63" s="425">
        <f t="shared" si="8"/>
        <v>0</v>
      </c>
      <c r="G63" s="6"/>
      <c r="H63" s="6"/>
      <c r="I63" s="989" t="e">
        <f t="shared" si="9"/>
        <v>#DIV/0!</v>
      </c>
      <c r="J63" s="6"/>
      <c r="K63" s="989" t="e">
        <f t="shared" si="7"/>
        <v>#DIV/0!</v>
      </c>
      <c r="L63" s="989" t="e">
        <f t="shared" si="10"/>
        <v>#DIV/0!</v>
      </c>
      <c r="M63" s="6">
        <f>VLOOKUP(A63,'Ingresos Proyecciones'!$A$11:$P$121,LOOKUP($O$190,'Ingresos Proyecciones'!$C$9:$P$9,'Ingresos Proyecciones'!$C$178:$P$178),FALSE)</f>
        <v>0</v>
      </c>
    </row>
    <row r="64" spans="1:14">
      <c r="A64" s="434" t="s">
        <v>877</v>
      </c>
      <c r="B64" s="441" t="s">
        <v>878</v>
      </c>
      <c r="C64" s="887">
        <f>VLOOKUP(A64,'Ingresos Proyecciones'!$A$11:$P$121,LOOKUP($C$25,'Ingresos Proyecciones'!$C$9:$P$9,'Ingresos Proyecciones'!$C$178:$P$178),FALSE)</f>
        <v>426911</v>
      </c>
      <c r="D64" s="6">
        <v>352800</v>
      </c>
      <c r="E64" s="6">
        <f>+C64</f>
        <v>426911</v>
      </c>
      <c r="F64" s="425">
        <f t="shared" si="8"/>
        <v>74111</v>
      </c>
      <c r="G64" s="6"/>
      <c r="H64" s="6">
        <v>301512</v>
      </c>
      <c r="I64" s="989">
        <f t="shared" si="9"/>
        <v>0.70626430333254475</v>
      </c>
      <c r="J64" s="6">
        <v>280072</v>
      </c>
      <c r="K64" s="989">
        <f t="shared" si="7"/>
        <v>7.6551743837298902E-2</v>
      </c>
      <c r="L64" s="989">
        <f t="shared" si="10"/>
        <v>0.70626430333254475</v>
      </c>
      <c r="M64" s="6">
        <f>VLOOKUP(A64,'Ingresos Proyecciones'!$A$11:$P$121,LOOKUP($O$190,'Ingresos Proyecciones'!$C$9:$P$9,'Ingresos Proyecciones'!$C$178:$P$178),FALSE)</f>
        <v>426911</v>
      </c>
    </row>
    <row r="65" spans="1:15">
      <c r="A65" s="434" t="s">
        <v>879</v>
      </c>
      <c r="B65" s="440" t="s">
        <v>880</v>
      </c>
      <c r="C65" s="888">
        <f>SUM(C66:C70)</f>
        <v>2837410</v>
      </c>
      <c r="D65" s="32">
        <f>SUM(D66:D70)</f>
        <v>1813022</v>
      </c>
      <c r="E65" s="32">
        <f>SUM(E66:E70)</f>
        <v>2837410</v>
      </c>
      <c r="F65" s="432">
        <f t="shared" si="8"/>
        <v>1024388</v>
      </c>
      <c r="G65" s="32">
        <f>SUM(G66:G70)</f>
        <v>0</v>
      </c>
      <c r="H65" s="32">
        <f>SUM(H66:H70)</f>
        <v>1254350</v>
      </c>
      <c r="I65" s="424">
        <f t="shared" si="9"/>
        <v>0.44207569579299433</v>
      </c>
      <c r="J65" s="32">
        <f>SUM(J66:J70)</f>
        <v>1273686</v>
      </c>
      <c r="K65" s="424">
        <f t="shared" si="7"/>
        <v>-1.5181135695925052E-2</v>
      </c>
      <c r="L65" s="424">
        <f t="shared" si="10"/>
        <v>0.44207569579299433</v>
      </c>
      <c r="M65" s="32">
        <f>SUM(M66:M70)</f>
        <v>2837410</v>
      </c>
    </row>
    <row r="66" spans="1:15">
      <c r="A66" s="434" t="s">
        <v>881</v>
      </c>
      <c r="B66" s="441" t="s">
        <v>882</v>
      </c>
      <c r="C66" s="887">
        <f>VLOOKUP(A66,'Ingresos Proyecciones'!$A$11:$P$121,LOOKUP($C$25,'Ingresos Proyecciones'!$C$9:$P$9,'Ingresos Proyecciones'!$C$178:$P$178),FALSE)</f>
        <v>1634306</v>
      </c>
      <c r="D66" s="6">
        <v>1596514</v>
      </c>
      <c r="E66" s="6">
        <f t="shared" ref="E66:E73" si="11">+C66</f>
        <v>1634306</v>
      </c>
      <c r="F66" s="425">
        <f t="shared" si="8"/>
        <v>37792</v>
      </c>
      <c r="G66" s="6"/>
      <c r="H66" s="6">
        <v>1178296</v>
      </c>
      <c r="I66" s="989">
        <f t="shared" si="9"/>
        <v>0.72097636550315547</v>
      </c>
      <c r="J66" s="6">
        <v>1181330</v>
      </c>
      <c r="K66" s="989">
        <f t="shared" si="7"/>
        <v>-2.5682916712519432E-3</v>
      </c>
      <c r="L66" s="989">
        <f t="shared" si="10"/>
        <v>0.72097636550315547</v>
      </c>
      <c r="M66" s="6">
        <f>VLOOKUP(A66,'Ingresos Proyecciones'!$A$11:$P$121,LOOKUP($O$190,'Ingresos Proyecciones'!$C$9:$P$9,'Ingresos Proyecciones'!$C$178:$P$178),FALSE)</f>
        <v>1634306</v>
      </c>
    </row>
    <row r="67" spans="1:15">
      <c r="A67" s="434" t="s">
        <v>883</v>
      </c>
      <c r="B67" s="441" t="s">
        <v>884</v>
      </c>
      <c r="C67" s="887">
        <f>VLOOKUP(A67,'Ingresos Proyecciones'!$A$11:$P$121,LOOKUP($C$25,'Ingresos Proyecciones'!$C$9:$P$9,'Ingresos Proyecciones'!$C$178:$P$178),FALSE)</f>
        <v>1109589</v>
      </c>
      <c r="D67" s="6">
        <v>120000</v>
      </c>
      <c r="E67" s="6">
        <f t="shared" si="11"/>
        <v>1109589</v>
      </c>
      <c r="F67" s="425">
        <f t="shared" si="8"/>
        <v>989589</v>
      </c>
      <c r="G67" s="6"/>
      <c r="H67" s="6">
        <v>0</v>
      </c>
      <c r="I67" s="989">
        <f t="shared" si="9"/>
        <v>0</v>
      </c>
      <c r="J67" s="6">
        <f>9899+9916</f>
        <v>19815</v>
      </c>
      <c r="K67" s="989">
        <f t="shared" si="7"/>
        <v>-1</v>
      </c>
      <c r="L67" s="989">
        <f t="shared" si="10"/>
        <v>0</v>
      </c>
      <c r="M67" s="6">
        <f>VLOOKUP(A67,'Ingresos Proyecciones'!$A$11:$P$121,LOOKUP($O$190,'Ingresos Proyecciones'!$C$9:$P$9,'Ingresos Proyecciones'!$C$178:$P$178),FALSE)</f>
        <v>1109589</v>
      </c>
    </row>
    <row r="68" spans="1:15">
      <c r="A68" s="434" t="s">
        <v>885</v>
      </c>
      <c r="B68" s="441" t="s">
        <v>886</v>
      </c>
      <c r="C68" s="887">
        <f>VLOOKUP(A68,'Ingresos Proyecciones'!$A$11:$P$121,LOOKUP($C$25,'Ingresos Proyecciones'!$C$9:$P$9,'Ingresos Proyecciones'!$C$178:$P$178),FALSE)</f>
        <v>93515</v>
      </c>
      <c r="D68" s="6">
        <v>96508</v>
      </c>
      <c r="E68" s="6">
        <f t="shared" si="11"/>
        <v>93515</v>
      </c>
      <c r="F68" s="425">
        <f t="shared" si="8"/>
        <v>-2993</v>
      </c>
      <c r="G68" s="6"/>
      <c r="H68" s="6">
        <v>76054</v>
      </c>
      <c r="I68" s="989">
        <f t="shared" si="9"/>
        <v>0.81328129177137354</v>
      </c>
      <c r="J68" s="6">
        <v>72541</v>
      </c>
      <c r="K68" s="989">
        <f t="shared" si="7"/>
        <v>4.8427785666037115E-2</v>
      </c>
      <c r="L68" s="989">
        <f t="shared" si="10"/>
        <v>0.81328129177137354</v>
      </c>
      <c r="M68" s="6">
        <f>VLOOKUP(A68,'Ingresos Proyecciones'!$A$11:$P$121,LOOKUP($O$190,'Ingresos Proyecciones'!$C$9:$P$9,'Ingresos Proyecciones'!$C$178:$P$178),FALSE)</f>
        <v>93515</v>
      </c>
    </row>
    <row r="69" spans="1:15" hidden="1">
      <c r="A69" s="434" t="s">
        <v>887</v>
      </c>
      <c r="B69" s="441" t="s">
        <v>888</v>
      </c>
      <c r="C69" s="887">
        <f>VLOOKUP(A69,'Ingresos Proyecciones'!$A$11:$P$121,LOOKUP($C$25,'Ingresos Proyecciones'!$C$9:$P$9,'Ingresos Proyecciones'!$C$178:$P$178),FALSE)</f>
        <v>0</v>
      </c>
      <c r="D69" s="6"/>
      <c r="E69" s="6">
        <f t="shared" si="11"/>
        <v>0</v>
      </c>
      <c r="F69" s="425">
        <f t="shared" si="8"/>
        <v>0</v>
      </c>
      <c r="G69" s="6"/>
      <c r="H69" s="6"/>
      <c r="I69" s="989" t="e">
        <f t="shared" si="9"/>
        <v>#DIV/0!</v>
      </c>
      <c r="J69" s="6"/>
      <c r="K69" s="989" t="e">
        <f t="shared" si="7"/>
        <v>#DIV/0!</v>
      </c>
      <c r="L69" s="989" t="e">
        <f t="shared" si="10"/>
        <v>#DIV/0!</v>
      </c>
      <c r="M69" s="6">
        <f>VLOOKUP(A69,'Ingresos Proyecciones'!$A$11:$P$121,LOOKUP($O$190,'Ingresos Proyecciones'!$C$9:$P$9,'Ingresos Proyecciones'!$C$178:$P$178),FALSE)</f>
        <v>0</v>
      </c>
    </row>
    <row r="70" spans="1:15" hidden="1">
      <c r="A70" s="434" t="s">
        <v>889</v>
      </c>
      <c r="B70" s="441" t="s">
        <v>890</v>
      </c>
      <c r="C70" s="887">
        <f>VLOOKUP(A70,'Ingresos Proyecciones'!$A$11:$P$121,LOOKUP($C$25,'Ingresos Proyecciones'!$C$9:$P$9,'Ingresos Proyecciones'!$C$178:$P$178),FALSE)</f>
        <v>0</v>
      </c>
      <c r="D70" s="6"/>
      <c r="E70" s="6">
        <f t="shared" si="11"/>
        <v>0</v>
      </c>
      <c r="F70" s="425">
        <f t="shared" si="8"/>
        <v>0</v>
      </c>
      <c r="G70" s="6"/>
      <c r="H70" s="6"/>
      <c r="I70" s="989" t="e">
        <f t="shared" si="9"/>
        <v>#DIV/0!</v>
      </c>
      <c r="J70" s="6"/>
      <c r="K70" s="989" t="e">
        <f t="shared" si="7"/>
        <v>#DIV/0!</v>
      </c>
      <c r="L70" s="989" t="e">
        <f t="shared" si="10"/>
        <v>#DIV/0!</v>
      </c>
      <c r="M70" s="6">
        <f>VLOOKUP(A70,'Ingresos Proyecciones'!$A$11:$P$121,LOOKUP($O$190,'Ingresos Proyecciones'!$C$9:$P$9,'Ingresos Proyecciones'!$C$178:$P$178),FALSE)</f>
        <v>0</v>
      </c>
    </row>
    <row r="71" spans="1:15">
      <c r="A71" s="434" t="s">
        <v>891</v>
      </c>
      <c r="B71" s="440" t="s">
        <v>892</v>
      </c>
      <c r="C71" s="887">
        <f>VLOOKUP(A71,'Ingresos Proyecciones'!$A$11:$P$121,LOOKUP($C$25,'Ingresos Proyecciones'!$C$9:$P$9,'Ingresos Proyecciones'!$C$178:$P$178),FALSE)</f>
        <v>1663434</v>
      </c>
      <c r="D71" s="6">
        <v>1382414</v>
      </c>
      <c r="E71" s="6">
        <f t="shared" si="11"/>
        <v>1663434</v>
      </c>
      <c r="F71" s="425">
        <f t="shared" si="8"/>
        <v>281020</v>
      </c>
      <c r="G71" s="6"/>
      <c r="H71" s="6">
        <v>1231454</v>
      </c>
      <c r="I71" s="989">
        <f t="shared" si="9"/>
        <v>0.74030830198252529</v>
      </c>
      <c r="J71" s="6">
        <v>1041015</v>
      </c>
      <c r="K71" s="989">
        <f t="shared" si="7"/>
        <v>0.18293588468946176</v>
      </c>
      <c r="L71" s="989">
        <f t="shared" si="10"/>
        <v>0.74030830198252529</v>
      </c>
      <c r="M71" s="6">
        <f>VLOOKUP(A71,'Ingresos Proyecciones'!$A$11:$P$121,LOOKUP($O$190,'Ingresos Proyecciones'!$C$9:$P$9,'Ingresos Proyecciones'!$C$178:$P$178),FALSE)</f>
        <v>1663434</v>
      </c>
      <c r="N71" s="45"/>
      <c r="O71" s="45"/>
    </row>
    <row r="72" spans="1:15">
      <c r="A72" s="434" t="s">
        <v>893</v>
      </c>
      <c r="B72" s="440" t="s">
        <v>894</v>
      </c>
      <c r="C72" s="887">
        <f>VLOOKUP(A72,'Ingresos Proyecciones'!$A$11:$P$121,LOOKUP($C$25,'Ingresos Proyecciones'!$C$9:$P$9,'Ingresos Proyecciones'!$C$178:$P$178),FALSE)</f>
        <v>78198</v>
      </c>
      <c r="D72" s="6">
        <v>65360</v>
      </c>
      <c r="E72" s="6">
        <f t="shared" si="11"/>
        <v>78198</v>
      </c>
      <c r="F72" s="425">
        <f t="shared" si="8"/>
        <v>12838</v>
      </c>
      <c r="G72" s="6"/>
      <c r="H72" s="6">
        <v>58222</v>
      </c>
      <c r="I72" s="989">
        <f t="shared" si="9"/>
        <v>0.74454589631448376</v>
      </c>
      <c r="J72" s="6">
        <v>48654</v>
      </c>
      <c r="K72" s="989">
        <f t="shared" si="7"/>
        <v>0.19665392362395684</v>
      </c>
      <c r="L72" s="989">
        <f t="shared" si="10"/>
        <v>0.74454589631448376</v>
      </c>
      <c r="M72" s="6">
        <f>VLOOKUP(A72,'Ingresos Proyecciones'!$A$11:$P$121,LOOKUP($O$190,'Ingresos Proyecciones'!$C$9:$P$9,'Ingresos Proyecciones'!$C$178:$P$178),FALSE)</f>
        <v>78198</v>
      </c>
      <c r="N72" s="45"/>
      <c r="O72" s="45"/>
    </row>
    <row r="73" spans="1:15" hidden="1">
      <c r="A73" s="434" t="s">
        <v>895</v>
      </c>
      <c r="B73" s="440" t="s">
        <v>927</v>
      </c>
      <c r="C73" s="887">
        <f>VLOOKUP(A73,'Ingresos Proyecciones'!$A$11:$P$121,LOOKUP($C$25,'Ingresos Proyecciones'!$C$9:$P$9,'Ingresos Proyecciones'!$C$178:$P$178),FALSE)</f>
        <v>0</v>
      </c>
      <c r="D73" s="6"/>
      <c r="E73" s="6">
        <f t="shared" si="11"/>
        <v>0</v>
      </c>
      <c r="F73" s="425">
        <f t="shared" si="8"/>
        <v>0</v>
      </c>
      <c r="G73" s="6"/>
      <c r="H73" s="6"/>
      <c r="I73" s="989" t="e">
        <f t="shared" si="9"/>
        <v>#DIV/0!</v>
      </c>
      <c r="J73" s="6"/>
      <c r="K73" s="989" t="e">
        <f t="shared" si="7"/>
        <v>#DIV/0!</v>
      </c>
      <c r="L73" s="989" t="e">
        <f t="shared" si="10"/>
        <v>#DIV/0!</v>
      </c>
      <c r="M73" s="6">
        <f>VLOOKUP(A73,'Ingresos Proyecciones'!$A$11:$P$121,LOOKUP($O$190,'Ingresos Proyecciones'!$C$9:$P$9,'Ingresos Proyecciones'!$C$178:$P$178),FALSE)</f>
        <v>0</v>
      </c>
      <c r="N73" s="45"/>
      <c r="O73" s="45"/>
    </row>
    <row r="74" spans="1:15" hidden="1">
      <c r="A74" s="434" t="s">
        <v>928</v>
      </c>
      <c r="B74" s="440" t="s">
        <v>929</v>
      </c>
      <c r="C74" s="888">
        <f>SUM(C75:C77)</f>
        <v>0</v>
      </c>
      <c r="D74" s="32">
        <f>SUM(D75:D77)</f>
        <v>0</v>
      </c>
      <c r="E74" s="32">
        <f>SUM(E75:E77)</f>
        <v>0</v>
      </c>
      <c r="F74" s="432">
        <f t="shared" si="8"/>
        <v>0</v>
      </c>
      <c r="G74" s="32">
        <f>SUM(G75:G77)</f>
        <v>0</v>
      </c>
      <c r="H74" s="32">
        <f>SUM(H75:H77)</f>
        <v>0</v>
      </c>
      <c r="I74" s="424" t="e">
        <f t="shared" si="9"/>
        <v>#DIV/0!</v>
      </c>
      <c r="J74" s="32">
        <f>SUM(J75:J77)</f>
        <v>0</v>
      </c>
      <c r="K74" s="424" t="e">
        <f t="shared" si="7"/>
        <v>#DIV/0!</v>
      </c>
      <c r="L74" s="424" t="e">
        <f t="shared" si="10"/>
        <v>#DIV/0!</v>
      </c>
      <c r="M74" s="32">
        <f>SUM(M75:M77)</f>
        <v>0</v>
      </c>
    </row>
    <row r="75" spans="1:15" hidden="1">
      <c r="A75" s="434" t="s">
        <v>930</v>
      </c>
      <c r="B75" s="441" t="s">
        <v>931</v>
      </c>
      <c r="C75" s="887">
        <f>VLOOKUP(A75,'Ingresos Proyecciones'!$A$11:$P$121,LOOKUP($C$25,'Ingresos Proyecciones'!$C$9:$P$9,'Ingresos Proyecciones'!$C$178:$P$178),FALSE)</f>
        <v>0</v>
      </c>
      <c r="D75" s="6"/>
      <c r="E75" s="6">
        <f>+C75</f>
        <v>0</v>
      </c>
      <c r="F75" s="425">
        <f t="shared" si="8"/>
        <v>0</v>
      </c>
      <c r="G75" s="6"/>
      <c r="H75" s="6"/>
      <c r="I75" s="989" t="e">
        <f t="shared" si="9"/>
        <v>#DIV/0!</v>
      </c>
      <c r="J75" s="6"/>
      <c r="K75" s="989" t="e">
        <f t="shared" si="7"/>
        <v>#DIV/0!</v>
      </c>
      <c r="L75" s="989" t="e">
        <f t="shared" si="10"/>
        <v>#DIV/0!</v>
      </c>
      <c r="M75" s="6">
        <f>VLOOKUP(A75,'Ingresos Proyecciones'!$A$11:$P$121,LOOKUP($O$190,'Ingresos Proyecciones'!$C$9:$P$9,'Ingresos Proyecciones'!$C$178:$P$178),FALSE)</f>
        <v>0</v>
      </c>
    </row>
    <row r="76" spans="1:15" hidden="1">
      <c r="A76" s="434" t="s">
        <v>932</v>
      </c>
      <c r="B76" s="441" t="s">
        <v>933</v>
      </c>
      <c r="C76" s="887">
        <f>VLOOKUP(A76,'Ingresos Proyecciones'!$A$11:$P$121,LOOKUP($C$25,'Ingresos Proyecciones'!$C$9:$P$9,'Ingresos Proyecciones'!$C$178:$P$178),FALSE)</f>
        <v>0</v>
      </c>
      <c r="D76" s="6"/>
      <c r="E76" s="6">
        <f>+C76</f>
        <v>0</v>
      </c>
      <c r="F76" s="425">
        <f t="shared" si="8"/>
        <v>0</v>
      </c>
      <c r="G76" s="6"/>
      <c r="H76" s="6"/>
      <c r="I76" s="989" t="e">
        <f t="shared" si="9"/>
        <v>#DIV/0!</v>
      </c>
      <c r="J76" s="6"/>
      <c r="K76" s="989" t="e">
        <f t="shared" si="7"/>
        <v>#DIV/0!</v>
      </c>
      <c r="L76" s="989" t="e">
        <f t="shared" si="10"/>
        <v>#DIV/0!</v>
      </c>
      <c r="M76" s="6">
        <f>VLOOKUP(A76,'Ingresos Proyecciones'!$A$11:$P$121,LOOKUP($O$190,'Ingresos Proyecciones'!$C$9:$P$9,'Ingresos Proyecciones'!$C$178:$P$178),FALSE)</f>
        <v>0</v>
      </c>
    </row>
    <row r="77" spans="1:15" hidden="1">
      <c r="A77" s="434" t="s">
        <v>934</v>
      </c>
      <c r="B77" s="441" t="s">
        <v>935</v>
      </c>
      <c r="C77" s="887">
        <f>VLOOKUP(A77,'Ingresos Proyecciones'!$A$11:$P$121,LOOKUP($C$25,'Ingresos Proyecciones'!$C$9:$P$9,'Ingresos Proyecciones'!$C$178:$P$178),FALSE)</f>
        <v>0</v>
      </c>
      <c r="D77" s="6"/>
      <c r="E77" s="6">
        <f>+C77</f>
        <v>0</v>
      </c>
      <c r="F77" s="425">
        <f t="shared" si="8"/>
        <v>0</v>
      </c>
      <c r="G77" s="6"/>
      <c r="H77" s="6"/>
      <c r="I77" s="989" t="e">
        <f t="shared" si="9"/>
        <v>#DIV/0!</v>
      </c>
      <c r="J77" s="6"/>
      <c r="K77" s="989" t="e">
        <f t="shared" si="7"/>
        <v>#DIV/0!</v>
      </c>
      <c r="L77" s="989" t="e">
        <f t="shared" si="10"/>
        <v>#DIV/0!</v>
      </c>
      <c r="M77" s="6">
        <f>VLOOKUP(A77,'Ingresos Proyecciones'!$A$11:$P$121,LOOKUP($O$190,'Ingresos Proyecciones'!$C$9:$P$9,'Ingresos Proyecciones'!$C$178:$P$178),FALSE)</f>
        <v>0</v>
      </c>
    </row>
    <row r="78" spans="1:15">
      <c r="A78" s="434" t="s">
        <v>936</v>
      </c>
      <c r="B78" s="440" t="s">
        <v>937</v>
      </c>
      <c r="C78" s="888">
        <f>SUM(C79:C81)</f>
        <v>7000</v>
      </c>
      <c r="D78" s="32">
        <f>SUM(D79:D81)</f>
        <v>7000</v>
      </c>
      <c r="E78" s="32">
        <f>SUM(E79:E81)</f>
        <v>7000</v>
      </c>
      <c r="F78" s="432">
        <f t="shared" si="8"/>
        <v>0</v>
      </c>
      <c r="G78" s="32">
        <f>SUM(G79:G81)</f>
        <v>0</v>
      </c>
      <c r="H78" s="32">
        <f>SUM(H79:H81)</f>
        <v>2950</v>
      </c>
      <c r="I78" s="424">
        <f t="shared" si="9"/>
        <v>0.42142857142857143</v>
      </c>
      <c r="J78" s="32">
        <f>SUM(J79:J81)</f>
        <v>4830</v>
      </c>
      <c r="K78" s="424">
        <f t="shared" si="7"/>
        <v>-0.38923395445134579</v>
      </c>
      <c r="L78" s="424">
        <f t="shared" si="10"/>
        <v>0.42142857142857143</v>
      </c>
      <c r="M78" s="32">
        <f>SUM(M79:M81)</f>
        <v>7000</v>
      </c>
    </row>
    <row r="79" spans="1:15" hidden="1">
      <c r="A79" s="434" t="s">
        <v>938</v>
      </c>
      <c r="B79" s="441" t="s">
        <v>939</v>
      </c>
      <c r="C79" s="887">
        <f>VLOOKUP(A79,'Ingresos Proyecciones'!$A$11:$P$121,LOOKUP($C$25,'Ingresos Proyecciones'!$C$9:$P$9,'Ingresos Proyecciones'!$C$178:$P$178),FALSE)</f>
        <v>0</v>
      </c>
      <c r="D79" s="6"/>
      <c r="E79" s="6">
        <f>+C79</f>
        <v>0</v>
      </c>
      <c r="F79" s="425">
        <f t="shared" si="8"/>
        <v>0</v>
      </c>
      <c r="G79" s="6"/>
      <c r="H79" s="6"/>
      <c r="I79" s="989" t="e">
        <f t="shared" si="9"/>
        <v>#DIV/0!</v>
      </c>
      <c r="J79" s="6"/>
      <c r="K79" s="989" t="e">
        <f t="shared" si="7"/>
        <v>#DIV/0!</v>
      </c>
      <c r="L79" s="989" t="e">
        <f t="shared" si="10"/>
        <v>#DIV/0!</v>
      </c>
      <c r="M79" s="6">
        <f>VLOOKUP(A79,'Ingresos Proyecciones'!$A$11:$P$121,LOOKUP($O$190,'Ingresos Proyecciones'!$C$9:$P$9,'Ingresos Proyecciones'!$C$178:$P$178),FALSE)</f>
        <v>0</v>
      </c>
    </row>
    <row r="80" spans="1:15">
      <c r="A80" s="434" t="s">
        <v>940</v>
      </c>
      <c r="B80" s="441" t="s">
        <v>941</v>
      </c>
      <c r="C80" s="887">
        <f>VLOOKUP(A80,'Ingresos Proyecciones'!$A$11:$P$121,LOOKUP($C$25,'Ingresos Proyecciones'!$C$9:$P$9,'Ingresos Proyecciones'!$C$178:$P$178),FALSE)</f>
        <v>7000</v>
      </c>
      <c r="D80" s="6">
        <v>7000</v>
      </c>
      <c r="E80" s="6">
        <f>+C80</f>
        <v>7000</v>
      </c>
      <c r="F80" s="425">
        <f t="shared" si="8"/>
        <v>0</v>
      </c>
      <c r="G80" s="6"/>
      <c r="H80" s="6">
        <v>2950</v>
      </c>
      <c r="I80" s="989">
        <f t="shared" si="9"/>
        <v>0.42142857142857143</v>
      </c>
      <c r="J80" s="6">
        <v>4830</v>
      </c>
      <c r="K80" s="989">
        <f t="shared" si="7"/>
        <v>-0.38923395445134579</v>
      </c>
      <c r="L80" s="989">
        <f t="shared" si="10"/>
        <v>0.42142857142857143</v>
      </c>
      <c r="M80" s="6">
        <f>VLOOKUP(A80,'Ingresos Proyecciones'!$A$11:$P$121,LOOKUP($O$190,'Ingresos Proyecciones'!$C$9:$P$9,'Ingresos Proyecciones'!$C$178:$P$178),FALSE)</f>
        <v>7000</v>
      </c>
    </row>
    <row r="81" spans="1:15" hidden="1">
      <c r="A81" s="434" t="s">
        <v>942</v>
      </c>
      <c r="B81" s="441" t="s">
        <v>943</v>
      </c>
      <c r="C81" s="887">
        <f>VLOOKUP(A81,'Ingresos Proyecciones'!$A$11:$P$121,LOOKUP($C$25,'Ingresos Proyecciones'!$C$9:$P$9,'Ingresos Proyecciones'!$C$178:$P$178),FALSE)</f>
        <v>0</v>
      </c>
      <c r="D81" s="6"/>
      <c r="E81" s="6">
        <f>+C81</f>
        <v>0</v>
      </c>
      <c r="F81" s="425">
        <f t="shared" si="8"/>
        <v>0</v>
      </c>
      <c r="G81" s="6"/>
      <c r="H81" s="6"/>
      <c r="I81" s="989" t="e">
        <f t="shared" si="9"/>
        <v>#DIV/0!</v>
      </c>
      <c r="J81" s="6"/>
      <c r="K81" s="989" t="e">
        <f t="shared" si="7"/>
        <v>#DIV/0!</v>
      </c>
      <c r="L81" s="989" t="e">
        <f t="shared" si="10"/>
        <v>#DIV/0!</v>
      </c>
      <c r="M81" s="6">
        <f>VLOOKUP(A81,'Ingresos Proyecciones'!$A$11:$P$121,LOOKUP($O$190,'Ingresos Proyecciones'!$C$9:$P$9,'Ingresos Proyecciones'!$C$178:$P$178),FALSE)</f>
        <v>0</v>
      </c>
    </row>
    <row r="82" spans="1:15">
      <c r="A82" s="434" t="s">
        <v>944</v>
      </c>
      <c r="B82" s="440" t="s">
        <v>945</v>
      </c>
      <c r="C82" s="888">
        <f>SUM(C83:C85)</f>
        <v>709643</v>
      </c>
      <c r="D82" s="32">
        <f>SUM(D83:D85)</f>
        <v>0</v>
      </c>
      <c r="E82" s="32">
        <f>SUM(E83:E85)</f>
        <v>709643</v>
      </c>
      <c r="F82" s="432">
        <f t="shared" si="8"/>
        <v>709643</v>
      </c>
      <c r="G82" s="32">
        <f>SUM(G83:G85)</f>
        <v>0</v>
      </c>
      <c r="H82" s="32">
        <f>SUM(H83:H85)</f>
        <v>0</v>
      </c>
      <c r="I82" s="424">
        <f t="shared" si="9"/>
        <v>0</v>
      </c>
      <c r="J82" s="32">
        <f>SUM(J83:J85)</f>
        <v>0</v>
      </c>
      <c r="K82" s="424">
        <v>1</v>
      </c>
      <c r="L82" s="424">
        <f t="shared" si="10"/>
        <v>0</v>
      </c>
      <c r="M82" s="32">
        <f>SUM(M83:M85)</f>
        <v>709643</v>
      </c>
    </row>
    <row r="83" spans="1:15" hidden="1">
      <c r="A83" s="434" t="s">
        <v>946</v>
      </c>
      <c r="B83" s="441" t="s">
        <v>947</v>
      </c>
      <c r="C83" s="887">
        <f>VLOOKUP(A83,'Ingresos Proyecciones'!$A$11:$P$121,LOOKUP($C$25,'Ingresos Proyecciones'!$C$9:$P$9,'Ingresos Proyecciones'!$C$178:$P$178),FALSE)</f>
        <v>0</v>
      </c>
      <c r="D83" s="6"/>
      <c r="E83" s="6">
        <f>+C83</f>
        <v>0</v>
      </c>
      <c r="F83" s="425">
        <f t="shared" si="8"/>
        <v>0</v>
      </c>
      <c r="G83" s="6"/>
      <c r="H83" s="6"/>
      <c r="I83" s="989" t="e">
        <f t="shared" si="9"/>
        <v>#DIV/0!</v>
      </c>
      <c r="J83" s="6"/>
      <c r="K83" s="989" t="e">
        <f>+(H83/J83)-1</f>
        <v>#DIV/0!</v>
      </c>
      <c r="L83" s="989" t="e">
        <f t="shared" si="10"/>
        <v>#DIV/0!</v>
      </c>
      <c r="M83" s="6">
        <f>VLOOKUP(A83,'Ingresos Proyecciones'!$A$11:$P$121,LOOKUP($O$190,'Ingresos Proyecciones'!$C$9:$P$9,'Ingresos Proyecciones'!$C$178:$P$178),FALSE)</f>
        <v>0</v>
      </c>
    </row>
    <row r="84" spans="1:15" hidden="1">
      <c r="A84" s="434" t="s">
        <v>948</v>
      </c>
      <c r="B84" s="441" t="s">
        <v>949</v>
      </c>
      <c r="C84" s="887">
        <f>VLOOKUP(A84,'Ingresos Proyecciones'!$A$11:$P$121,LOOKUP($C$25,'Ingresos Proyecciones'!$C$9:$P$9,'Ingresos Proyecciones'!$C$178:$P$178),FALSE)</f>
        <v>0</v>
      </c>
      <c r="D84" s="6"/>
      <c r="E84" s="6">
        <f>+C84</f>
        <v>0</v>
      </c>
      <c r="F84" s="425">
        <f t="shared" si="8"/>
        <v>0</v>
      </c>
      <c r="G84" s="6"/>
      <c r="H84" s="6"/>
      <c r="I84" s="989" t="e">
        <f t="shared" si="9"/>
        <v>#DIV/0!</v>
      </c>
      <c r="J84" s="6"/>
      <c r="K84" s="989" t="e">
        <f>+(H84/J84)-1</f>
        <v>#DIV/0!</v>
      </c>
      <c r="L84" s="989" t="e">
        <f t="shared" si="10"/>
        <v>#DIV/0!</v>
      </c>
      <c r="M84" s="6">
        <f>VLOOKUP(A84,'Ingresos Proyecciones'!$A$11:$P$121,LOOKUP($O$190,'Ingresos Proyecciones'!$C$9:$P$9,'Ingresos Proyecciones'!$C$178:$P$178),FALSE)</f>
        <v>0</v>
      </c>
    </row>
    <row r="85" spans="1:15">
      <c r="A85" s="434" t="s">
        <v>950</v>
      </c>
      <c r="B85" s="441" t="s">
        <v>951</v>
      </c>
      <c r="C85" s="887">
        <f>VLOOKUP(A85,'Ingresos Proyecciones'!$A$11:$P$121,LOOKUP($C$25,'Ingresos Proyecciones'!$C$9:$P$9,'Ingresos Proyecciones'!$C$178:$P$178),FALSE)</f>
        <v>709643</v>
      </c>
      <c r="D85" s="6">
        <v>0</v>
      </c>
      <c r="E85" s="6">
        <f>+C85</f>
        <v>709643</v>
      </c>
      <c r="F85" s="425">
        <f t="shared" si="8"/>
        <v>709643</v>
      </c>
      <c r="G85" s="6"/>
      <c r="H85" s="6">
        <v>0</v>
      </c>
      <c r="I85" s="989">
        <f t="shared" si="9"/>
        <v>0</v>
      </c>
      <c r="J85" s="6">
        <v>0</v>
      </c>
      <c r="K85" s="989">
        <v>1</v>
      </c>
      <c r="L85" s="989">
        <f t="shared" si="10"/>
        <v>0</v>
      </c>
      <c r="M85" s="6">
        <f>VLOOKUP(A85,'Ingresos Proyecciones'!$A$11:$P$121,LOOKUP($O$190,'Ingresos Proyecciones'!$C$9:$P$9,'Ingresos Proyecciones'!$C$178:$P$178),FALSE)</f>
        <v>709643</v>
      </c>
    </row>
    <row r="86" spans="1:15" hidden="1">
      <c r="A86" s="434" t="s">
        <v>952</v>
      </c>
      <c r="B86" s="440" t="s">
        <v>953</v>
      </c>
      <c r="C86" s="887">
        <f>VLOOKUP(A86,'Ingresos Proyecciones'!$A$11:$P$121,LOOKUP($C$25,'Ingresos Proyecciones'!$C$9:$P$9,'Ingresos Proyecciones'!$C$178:$P$178),FALSE)</f>
        <v>0</v>
      </c>
      <c r="D86" s="6"/>
      <c r="E86" s="6">
        <f>+C86</f>
        <v>0</v>
      </c>
      <c r="F86" s="425">
        <f t="shared" si="8"/>
        <v>0</v>
      </c>
      <c r="G86" s="6"/>
      <c r="H86" s="6"/>
      <c r="I86" s="989" t="e">
        <f t="shared" si="9"/>
        <v>#DIV/0!</v>
      </c>
      <c r="J86" s="6"/>
      <c r="K86" s="989" t="e">
        <f t="shared" ref="K86:K110" si="12">+(H86/J86)-1</f>
        <v>#DIV/0!</v>
      </c>
      <c r="L86" s="989" t="e">
        <f t="shared" si="10"/>
        <v>#DIV/0!</v>
      </c>
      <c r="M86" s="6">
        <f>VLOOKUP(A86,'Ingresos Proyecciones'!$A$11:$P$121,LOOKUP($O$190,'Ingresos Proyecciones'!$C$9:$P$9,'Ingresos Proyecciones'!$C$178:$P$178),FALSE)</f>
        <v>0</v>
      </c>
      <c r="N86" s="45"/>
      <c r="O86" s="45"/>
    </row>
    <row r="87" spans="1:15">
      <c r="A87" s="434" t="s">
        <v>954</v>
      </c>
      <c r="B87" s="438" t="s">
        <v>955</v>
      </c>
      <c r="C87" s="888" t="e">
        <f>+C88+C89+C90+C99+C111+C123+C124+C125+C128+C129+C130</f>
        <v>#N/A</v>
      </c>
      <c r="D87" s="32">
        <f>+D88+D89+D90+D99+D111+D123+D124+D125+D128+D129+D130</f>
        <v>27500</v>
      </c>
      <c r="E87" s="32" t="e">
        <f>+E88+E89+E90+E99+E111+E123+E124+E125+E128+E129+E130</f>
        <v>#N/A</v>
      </c>
      <c r="F87" s="432" t="e">
        <f t="shared" si="8"/>
        <v>#N/A</v>
      </c>
      <c r="G87" s="32">
        <f>+G88+G89+G90+G99+G111+G123+G124+G125+G128+G129+G130</f>
        <v>0</v>
      </c>
      <c r="H87" s="32">
        <f>+H88+H89+H90+H99+H111+H123+H124+H125+H128+H129+H130</f>
        <v>30555</v>
      </c>
      <c r="I87" s="424" t="e">
        <f t="shared" si="9"/>
        <v>#N/A</v>
      </c>
      <c r="J87" s="32">
        <f>+J88+J89+J90+J99+J111+J123+J124+J125+J128+J129+J130</f>
        <v>15499</v>
      </c>
      <c r="K87" s="424">
        <f t="shared" si="12"/>
        <v>0.97141751080714878</v>
      </c>
      <c r="L87" s="424" t="e">
        <f t="shared" si="10"/>
        <v>#N/A</v>
      </c>
      <c r="M87" s="32" t="e">
        <f>+M88+M89+M90+M99+M111+M123+M124+M125+M128+M129+M130</f>
        <v>#N/A</v>
      </c>
    </row>
    <row r="88" spans="1:15">
      <c r="A88" s="434" t="s">
        <v>956</v>
      </c>
      <c r="B88" s="438" t="s">
        <v>904</v>
      </c>
      <c r="C88" s="887">
        <f>VLOOKUP(A88,'Ingresos Proyecciones'!$A$11:$P$121,LOOKUP($C$25,'Ingresos Proyecciones'!$C$9:$P$9,'Ingresos Proyecciones'!$C$178:$P$178),FALSE)</f>
        <v>26000</v>
      </c>
      <c r="D88" s="6">
        <v>26000</v>
      </c>
      <c r="E88" s="6">
        <f>+C88</f>
        <v>26000</v>
      </c>
      <c r="F88" s="425">
        <f t="shared" si="8"/>
        <v>0</v>
      </c>
      <c r="G88" s="6"/>
      <c r="H88" s="6">
        <f>4104+23853</f>
        <v>27957</v>
      </c>
      <c r="I88" s="989">
        <f t="shared" si="9"/>
        <v>1.0752692307692309</v>
      </c>
      <c r="J88" s="6">
        <f>2006+13043</f>
        <v>15049</v>
      </c>
      <c r="K88" s="989">
        <f t="shared" si="12"/>
        <v>0.85773141072496517</v>
      </c>
      <c r="L88" s="989">
        <f t="shared" si="10"/>
        <v>1.0752692307692309</v>
      </c>
      <c r="M88" s="6">
        <f>VLOOKUP(A88,'Ingresos Proyecciones'!$A$11:$P$121,LOOKUP($O$190,'Ingresos Proyecciones'!$C$9:$P$9,'Ingresos Proyecciones'!$C$178:$P$178),FALSE)</f>
        <v>26000</v>
      </c>
    </row>
    <row r="89" spans="1:15" hidden="1">
      <c r="A89" s="434" t="s">
        <v>957</v>
      </c>
      <c r="B89" s="440" t="s">
        <v>958</v>
      </c>
      <c r="C89" s="887">
        <f>VLOOKUP(A89,'Ingresos Proyecciones'!$A$11:$P$121,LOOKUP($C$25,'Ingresos Proyecciones'!$C$9:$P$9,'Ingresos Proyecciones'!$C$178:$P$178),FALSE)</f>
        <v>0</v>
      </c>
      <c r="D89" s="6"/>
      <c r="E89" s="6">
        <f>+C89</f>
        <v>0</v>
      </c>
      <c r="F89" s="425">
        <f t="shared" si="8"/>
        <v>0</v>
      </c>
      <c r="G89" s="6"/>
      <c r="H89" s="6"/>
      <c r="I89" s="989" t="e">
        <f t="shared" si="9"/>
        <v>#DIV/0!</v>
      </c>
      <c r="J89" s="6"/>
      <c r="K89" s="989" t="e">
        <f t="shared" si="12"/>
        <v>#DIV/0!</v>
      </c>
      <c r="L89" s="989" t="e">
        <f t="shared" si="10"/>
        <v>#DIV/0!</v>
      </c>
      <c r="M89" s="6">
        <f>VLOOKUP(A89,'Ingresos Proyecciones'!$A$11:$P$121,LOOKUP($O$190,'Ingresos Proyecciones'!$C$9:$P$9,'Ingresos Proyecciones'!$C$178:$P$178),FALSE)</f>
        <v>0</v>
      </c>
    </row>
    <row r="90" spans="1:15" hidden="1">
      <c r="A90" s="434" t="s">
        <v>959</v>
      </c>
      <c r="B90" s="440" t="s">
        <v>960</v>
      </c>
      <c r="C90" s="888">
        <f>SUM(C91:C98)</f>
        <v>0</v>
      </c>
      <c r="D90" s="32">
        <f>SUM(D91:D98)</f>
        <v>0</v>
      </c>
      <c r="E90" s="32">
        <f>SUM(E91:E98)</f>
        <v>0</v>
      </c>
      <c r="F90" s="432">
        <f t="shared" si="8"/>
        <v>0</v>
      </c>
      <c r="G90" s="32">
        <f>SUM(G91:G98)</f>
        <v>0</v>
      </c>
      <c r="H90" s="32">
        <f>SUM(H91:H98)</f>
        <v>0</v>
      </c>
      <c r="I90" s="424" t="e">
        <f t="shared" si="9"/>
        <v>#DIV/0!</v>
      </c>
      <c r="J90" s="32">
        <f>SUM(J91:J98)</f>
        <v>0</v>
      </c>
      <c r="K90" s="424" t="e">
        <f t="shared" si="12"/>
        <v>#DIV/0!</v>
      </c>
      <c r="L90" s="424" t="e">
        <f t="shared" si="10"/>
        <v>#DIV/0!</v>
      </c>
      <c r="M90" s="32">
        <f>SUM(M91:M98)</f>
        <v>0</v>
      </c>
    </row>
    <row r="91" spans="1:15" hidden="1">
      <c r="A91" s="434" t="s">
        <v>961</v>
      </c>
      <c r="B91" s="441" t="s">
        <v>962</v>
      </c>
      <c r="C91" s="887">
        <f>VLOOKUP(A91,'Ingresos Proyecciones'!$A$11:$P$121,LOOKUP($C$25,'Ingresos Proyecciones'!$C$9:$P$9,'Ingresos Proyecciones'!$C$178:$P$178),FALSE)</f>
        <v>0</v>
      </c>
      <c r="D91" s="6"/>
      <c r="E91" s="6">
        <f t="shared" ref="E91:E98" si="13">+C91</f>
        <v>0</v>
      </c>
      <c r="F91" s="425">
        <f t="shared" ref="F91:F122" si="14">+E91-D91</f>
        <v>0</v>
      </c>
      <c r="G91" s="6"/>
      <c r="H91" s="6"/>
      <c r="I91" s="989" t="e">
        <f t="shared" ref="I91:I122" si="15">+H91/E91</f>
        <v>#DIV/0!</v>
      </c>
      <c r="J91" s="6"/>
      <c r="K91" s="989" t="e">
        <f t="shared" si="12"/>
        <v>#DIV/0!</v>
      </c>
      <c r="L91" s="989" t="e">
        <f t="shared" ref="L91:L122" si="16">+H91/C91</f>
        <v>#DIV/0!</v>
      </c>
      <c r="M91" s="6">
        <f>VLOOKUP(A91,'Ingresos Proyecciones'!$A$11:$P$121,LOOKUP($O$190,'Ingresos Proyecciones'!$C$9:$P$9,'Ingresos Proyecciones'!$C$178:$P$178),FALSE)</f>
        <v>0</v>
      </c>
    </row>
    <row r="92" spans="1:15" hidden="1">
      <c r="A92" s="434" t="s">
        <v>963</v>
      </c>
      <c r="B92" s="441" t="s">
        <v>964</v>
      </c>
      <c r="C92" s="887">
        <f>VLOOKUP(A92,'Ingresos Proyecciones'!$A$11:$P$121,LOOKUP($C$25,'Ingresos Proyecciones'!$C$9:$P$9,'Ingresos Proyecciones'!$C$178:$P$178),FALSE)</f>
        <v>0</v>
      </c>
      <c r="D92" s="6"/>
      <c r="E92" s="6">
        <f t="shared" si="13"/>
        <v>0</v>
      </c>
      <c r="F92" s="425">
        <f t="shared" si="14"/>
        <v>0</v>
      </c>
      <c r="G92" s="6"/>
      <c r="H92" s="6"/>
      <c r="I92" s="989" t="e">
        <f t="shared" si="15"/>
        <v>#DIV/0!</v>
      </c>
      <c r="J92" s="6"/>
      <c r="K92" s="989" t="e">
        <f t="shared" si="12"/>
        <v>#DIV/0!</v>
      </c>
      <c r="L92" s="989" t="e">
        <f t="shared" si="16"/>
        <v>#DIV/0!</v>
      </c>
      <c r="M92" s="6">
        <f>VLOOKUP(A92,'Ingresos Proyecciones'!$A$11:$P$121,LOOKUP($O$190,'Ingresos Proyecciones'!$C$9:$P$9,'Ingresos Proyecciones'!$C$178:$P$178),FALSE)</f>
        <v>0</v>
      </c>
    </row>
    <row r="93" spans="1:15" hidden="1">
      <c r="A93" s="434" t="s">
        <v>965</v>
      </c>
      <c r="B93" s="441" t="s">
        <v>966</v>
      </c>
      <c r="C93" s="887">
        <f>VLOOKUP(A93,'Ingresos Proyecciones'!$A$11:$P$121,LOOKUP($C$25,'Ingresos Proyecciones'!$C$9:$P$9,'Ingresos Proyecciones'!$C$178:$P$178),FALSE)</f>
        <v>0</v>
      </c>
      <c r="D93" s="6"/>
      <c r="E93" s="6">
        <f t="shared" si="13"/>
        <v>0</v>
      </c>
      <c r="F93" s="425">
        <f t="shared" si="14"/>
        <v>0</v>
      </c>
      <c r="G93" s="6"/>
      <c r="H93" s="6"/>
      <c r="I93" s="989" t="e">
        <f t="shared" si="15"/>
        <v>#DIV/0!</v>
      </c>
      <c r="J93" s="6"/>
      <c r="K93" s="989" t="e">
        <f t="shared" si="12"/>
        <v>#DIV/0!</v>
      </c>
      <c r="L93" s="989" t="e">
        <f t="shared" si="16"/>
        <v>#DIV/0!</v>
      </c>
      <c r="M93" s="6">
        <f>VLOOKUP(A93,'Ingresos Proyecciones'!$A$11:$P$121,LOOKUP($O$190,'Ingresos Proyecciones'!$C$9:$P$9,'Ingresos Proyecciones'!$C$178:$P$178),FALSE)</f>
        <v>0</v>
      </c>
    </row>
    <row r="94" spans="1:15" hidden="1">
      <c r="A94" s="434" t="s">
        <v>967</v>
      </c>
      <c r="B94" s="441" t="s">
        <v>968</v>
      </c>
      <c r="C94" s="887">
        <f>VLOOKUP(A94,'Ingresos Proyecciones'!$A$11:$P$121,LOOKUP($C$25,'Ingresos Proyecciones'!$C$9:$P$9,'Ingresos Proyecciones'!$C$178:$P$178),FALSE)</f>
        <v>0</v>
      </c>
      <c r="D94" s="6"/>
      <c r="E94" s="6">
        <f t="shared" si="13"/>
        <v>0</v>
      </c>
      <c r="F94" s="425">
        <f t="shared" si="14"/>
        <v>0</v>
      </c>
      <c r="G94" s="6"/>
      <c r="H94" s="6"/>
      <c r="I94" s="989" t="e">
        <f t="shared" si="15"/>
        <v>#DIV/0!</v>
      </c>
      <c r="J94" s="6"/>
      <c r="K94" s="989" t="e">
        <f t="shared" si="12"/>
        <v>#DIV/0!</v>
      </c>
      <c r="L94" s="989" t="e">
        <f t="shared" si="16"/>
        <v>#DIV/0!</v>
      </c>
      <c r="M94" s="6">
        <f>VLOOKUP(A94,'Ingresos Proyecciones'!$A$11:$P$121,LOOKUP($O$190,'Ingresos Proyecciones'!$C$9:$P$9,'Ingresos Proyecciones'!$C$178:$P$178),FALSE)</f>
        <v>0</v>
      </c>
    </row>
    <row r="95" spans="1:15" hidden="1">
      <c r="A95" s="434" t="s">
        <v>969</v>
      </c>
      <c r="B95" s="441" t="s">
        <v>970</v>
      </c>
      <c r="C95" s="887">
        <f>VLOOKUP(A95,'Ingresos Proyecciones'!$A$11:$P$121,LOOKUP($C$25,'Ingresos Proyecciones'!$C$9:$P$9,'Ingresos Proyecciones'!$C$178:$P$178),FALSE)</f>
        <v>0</v>
      </c>
      <c r="D95" s="6"/>
      <c r="E95" s="6">
        <f t="shared" si="13"/>
        <v>0</v>
      </c>
      <c r="F95" s="425">
        <f t="shared" si="14"/>
        <v>0</v>
      </c>
      <c r="G95" s="6"/>
      <c r="H95" s="6"/>
      <c r="I95" s="989" t="e">
        <f t="shared" si="15"/>
        <v>#DIV/0!</v>
      </c>
      <c r="J95" s="6"/>
      <c r="K95" s="989" t="e">
        <f t="shared" si="12"/>
        <v>#DIV/0!</v>
      </c>
      <c r="L95" s="989" t="e">
        <f t="shared" si="16"/>
        <v>#DIV/0!</v>
      </c>
      <c r="M95" s="6">
        <f>VLOOKUP(A95,'Ingresos Proyecciones'!$A$11:$P$121,LOOKUP($O$190,'Ingresos Proyecciones'!$C$9:$P$9,'Ingresos Proyecciones'!$C$178:$P$178),FALSE)</f>
        <v>0</v>
      </c>
    </row>
    <row r="96" spans="1:15" hidden="1">
      <c r="A96" s="434" t="s">
        <v>971</v>
      </c>
      <c r="B96" s="441" t="s">
        <v>972</v>
      </c>
      <c r="C96" s="887">
        <f>VLOOKUP(A96,'Ingresos Proyecciones'!$A$11:$P$121,LOOKUP($C$25,'Ingresos Proyecciones'!$C$9:$P$9,'Ingresos Proyecciones'!$C$178:$P$178),FALSE)</f>
        <v>0</v>
      </c>
      <c r="D96" s="6"/>
      <c r="E96" s="6">
        <f t="shared" si="13"/>
        <v>0</v>
      </c>
      <c r="F96" s="425">
        <f t="shared" si="14"/>
        <v>0</v>
      </c>
      <c r="G96" s="6"/>
      <c r="H96" s="6"/>
      <c r="I96" s="989" t="e">
        <f t="shared" si="15"/>
        <v>#DIV/0!</v>
      </c>
      <c r="J96" s="6"/>
      <c r="K96" s="989" t="e">
        <f t="shared" si="12"/>
        <v>#DIV/0!</v>
      </c>
      <c r="L96" s="989" t="e">
        <f t="shared" si="16"/>
        <v>#DIV/0!</v>
      </c>
      <c r="M96" s="6">
        <f>VLOOKUP(A96,'Ingresos Proyecciones'!$A$11:$P$121,LOOKUP($O$190,'Ingresos Proyecciones'!$C$9:$P$9,'Ingresos Proyecciones'!$C$178:$P$178),FALSE)</f>
        <v>0</v>
      </c>
    </row>
    <row r="97" spans="1:13" hidden="1">
      <c r="A97" s="434" t="s">
        <v>973</v>
      </c>
      <c r="B97" s="441" t="s">
        <v>974</v>
      </c>
      <c r="C97" s="887">
        <f>VLOOKUP(A97,'Ingresos Proyecciones'!$A$11:$P$121,LOOKUP($C$25,'Ingresos Proyecciones'!$C$9:$P$9,'Ingresos Proyecciones'!$C$178:$P$178),FALSE)</f>
        <v>0</v>
      </c>
      <c r="D97" s="6"/>
      <c r="E97" s="6">
        <f t="shared" si="13"/>
        <v>0</v>
      </c>
      <c r="F97" s="425">
        <f t="shared" si="14"/>
        <v>0</v>
      </c>
      <c r="G97" s="6"/>
      <c r="H97" s="6"/>
      <c r="I97" s="989" t="e">
        <f t="shared" si="15"/>
        <v>#DIV/0!</v>
      </c>
      <c r="J97" s="6"/>
      <c r="K97" s="989" t="e">
        <f t="shared" si="12"/>
        <v>#DIV/0!</v>
      </c>
      <c r="L97" s="989" t="e">
        <f t="shared" si="16"/>
        <v>#DIV/0!</v>
      </c>
      <c r="M97" s="6">
        <f>VLOOKUP(A97,'Ingresos Proyecciones'!$A$11:$P$121,LOOKUP($O$190,'Ingresos Proyecciones'!$C$9:$P$9,'Ingresos Proyecciones'!$C$178:$P$178),FALSE)</f>
        <v>0</v>
      </c>
    </row>
    <row r="98" spans="1:13" hidden="1">
      <c r="A98" s="434" t="s">
        <v>975</v>
      </c>
      <c r="B98" s="441" t="s">
        <v>976</v>
      </c>
      <c r="C98" s="887">
        <f>VLOOKUP(A98,'Ingresos Proyecciones'!$A$11:$P$121,LOOKUP($C$25,'Ingresos Proyecciones'!$C$9:$P$9,'Ingresos Proyecciones'!$C$178:$P$178),FALSE)</f>
        <v>0</v>
      </c>
      <c r="D98" s="6"/>
      <c r="E98" s="6">
        <f t="shared" si="13"/>
        <v>0</v>
      </c>
      <c r="F98" s="425">
        <f t="shared" si="14"/>
        <v>0</v>
      </c>
      <c r="G98" s="6"/>
      <c r="H98" s="6"/>
      <c r="I98" s="989" t="e">
        <f t="shared" si="15"/>
        <v>#DIV/0!</v>
      </c>
      <c r="J98" s="6"/>
      <c r="K98" s="989" t="e">
        <f t="shared" si="12"/>
        <v>#DIV/0!</v>
      </c>
      <c r="L98" s="989" t="e">
        <f t="shared" si="16"/>
        <v>#DIV/0!</v>
      </c>
      <c r="M98" s="6">
        <f>VLOOKUP(A98,'Ingresos Proyecciones'!$A$11:$P$121,LOOKUP($O$190,'Ingresos Proyecciones'!$C$9:$P$9,'Ingresos Proyecciones'!$C$178:$P$178),FALSE)</f>
        <v>0</v>
      </c>
    </row>
    <row r="99" spans="1:13" hidden="1">
      <c r="A99" s="434" t="s">
        <v>977</v>
      </c>
      <c r="B99" s="440" t="s">
        <v>978</v>
      </c>
      <c r="C99" s="888">
        <f>+C100+C110</f>
        <v>0</v>
      </c>
      <c r="D99" s="32">
        <f>+D100+D110</f>
        <v>0</v>
      </c>
      <c r="E99" s="32">
        <f>+E100+E110</f>
        <v>0</v>
      </c>
      <c r="F99" s="432">
        <f t="shared" si="14"/>
        <v>0</v>
      </c>
      <c r="G99" s="32">
        <f>+G100+G110</f>
        <v>0</v>
      </c>
      <c r="H99" s="32">
        <f>+H100+H110</f>
        <v>0</v>
      </c>
      <c r="I99" s="424" t="e">
        <f t="shared" si="15"/>
        <v>#DIV/0!</v>
      </c>
      <c r="J99" s="32">
        <f>+J100+J110</f>
        <v>0</v>
      </c>
      <c r="K99" s="424" t="e">
        <f t="shared" si="12"/>
        <v>#DIV/0!</v>
      </c>
      <c r="L99" s="424" t="e">
        <f t="shared" si="16"/>
        <v>#DIV/0!</v>
      </c>
      <c r="M99" s="32">
        <f>+M100+M110</f>
        <v>0</v>
      </c>
    </row>
    <row r="100" spans="1:13" hidden="1">
      <c r="A100" s="434" t="s">
        <v>979</v>
      </c>
      <c r="B100" s="440" t="s">
        <v>980</v>
      </c>
      <c r="C100" s="888">
        <f>+C101+C109</f>
        <v>0</v>
      </c>
      <c r="D100" s="32">
        <f>+D101+D109</f>
        <v>0</v>
      </c>
      <c r="E100" s="32">
        <f>+E101+E109</f>
        <v>0</v>
      </c>
      <c r="F100" s="432">
        <f t="shared" si="14"/>
        <v>0</v>
      </c>
      <c r="G100" s="32">
        <f>+G101+G109</f>
        <v>0</v>
      </c>
      <c r="H100" s="32">
        <f>+H101+H109</f>
        <v>0</v>
      </c>
      <c r="I100" s="424" t="e">
        <f t="shared" si="15"/>
        <v>#DIV/0!</v>
      </c>
      <c r="J100" s="32">
        <f>+J101+J109</f>
        <v>0</v>
      </c>
      <c r="K100" s="424" t="e">
        <f t="shared" si="12"/>
        <v>#DIV/0!</v>
      </c>
      <c r="L100" s="424" t="e">
        <f t="shared" si="16"/>
        <v>#DIV/0!</v>
      </c>
      <c r="M100" s="32">
        <f>+M101+M109</f>
        <v>0</v>
      </c>
    </row>
    <row r="101" spans="1:13" hidden="1">
      <c r="A101" s="434" t="s">
        <v>981</v>
      </c>
      <c r="B101" s="440" t="s">
        <v>982</v>
      </c>
      <c r="C101" s="888">
        <f>SUM(C102:C108)</f>
        <v>0</v>
      </c>
      <c r="D101" s="32">
        <f>SUM(D102:D108)</f>
        <v>0</v>
      </c>
      <c r="E101" s="32">
        <f>SUM(E102:E108)</f>
        <v>0</v>
      </c>
      <c r="F101" s="432">
        <f t="shared" si="14"/>
        <v>0</v>
      </c>
      <c r="G101" s="32">
        <f>SUM(G102:G108)</f>
        <v>0</v>
      </c>
      <c r="H101" s="32">
        <f>SUM(H102:H108)</f>
        <v>0</v>
      </c>
      <c r="I101" s="424" t="e">
        <f t="shared" si="15"/>
        <v>#DIV/0!</v>
      </c>
      <c r="J101" s="32">
        <f>SUM(J102:J108)</f>
        <v>0</v>
      </c>
      <c r="K101" s="424" t="e">
        <f t="shared" si="12"/>
        <v>#DIV/0!</v>
      </c>
      <c r="L101" s="424" t="e">
        <f t="shared" si="16"/>
        <v>#DIV/0!</v>
      </c>
      <c r="M101" s="32">
        <f>SUM(M102:M108)</f>
        <v>0</v>
      </c>
    </row>
    <row r="102" spans="1:13" hidden="1">
      <c r="A102" s="434" t="s">
        <v>983</v>
      </c>
      <c r="B102" s="441" t="s">
        <v>984</v>
      </c>
      <c r="C102" s="887">
        <f>VLOOKUP(A102,'Ingresos Proyecciones'!$A$11:$P$121,LOOKUP($C$25,'Ingresos Proyecciones'!$C$9:$P$9,'Ingresos Proyecciones'!$C$178:$P$178),FALSE)</f>
        <v>0</v>
      </c>
      <c r="D102" s="6"/>
      <c r="E102" s="6">
        <f t="shared" ref="E102:E110" si="17">+C102</f>
        <v>0</v>
      </c>
      <c r="F102" s="425">
        <f t="shared" si="14"/>
        <v>0</v>
      </c>
      <c r="G102" s="6"/>
      <c r="H102" s="6"/>
      <c r="I102" s="989" t="e">
        <f t="shared" si="15"/>
        <v>#DIV/0!</v>
      </c>
      <c r="J102" s="6"/>
      <c r="K102" s="989" t="e">
        <f t="shared" si="12"/>
        <v>#DIV/0!</v>
      </c>
      <c r="L102" s="989" t="e">
        <f t="shared" si="16"/>
        <v>#DIV/0!</v>
      </c>
      <c r="M102" s="6">
        <f>VLOOKUP(A102,'Ingresos Proyecciones'!$A$11:$P$121,LOOKUP($O$190,'Ingresos Proyecciones'!$C$9:$P$9,'Ingresos Proyecciones'!$C$178:$P$178),FALSE)</f>
        <v>0</v>
      </c>
    </row>
    <row r="103" spans="1:13" hidden="1">
      <c r="A103" s="434" t="s">
        <v>985</v>
      </c>
      <c r="B103" s="441" t="s">
        <v>986</v>
      </c>
      <c r="C103" s="887">
        <f>VLOOKUP(A103,'Ingresos Proyecciones'!$A$11:$P$121,LOOKUP($C$25,'Ingresos Proyecciones'!$C$9:$P$9,'Ingresos Proyecciones'!$C$178:$P$178),FALSE)</f>
        <v>0</v>
      </c>
      <c r="D103" s="6"/>
      <c r="E103" s="6">
        <f t="shared" si="17"/>
        <v>0</v>
      </c>
      <c r="F103" s="425">
        <f t="shared" si="14"/>
        <v>0</v>
      </c>
      <c r="G103" s="6"/>
      <c r="H103" s="6"/>
      <c r="I103" s="989" t="e">
        <f t="shared" si="15"/>
        <v>#DIV/0!</v>
      </c>
      <c r="J103" s="6"/>
      <c r="K103" s="989" t="e">
        <f t="shared" si="12"/>
        <v>#DIV/0!</v>
      </c>
      <c r="L103" s="989" t="e">
        <f t="shared" si="16"/>
        <v>#DIV/0!</v>
      </c>
      <c r="M103" s="6">
        <f>VLOOKUP(A103,'Ingresos Proyecciones'!$A$11:$P$121,LOOKUP($O$190,'Ingresos Proyecciones'!$C$9:$P$9,'Ingresos Proyecciones'!$C$178:$P$178),FALSE)</f>
        <v>0</v>
      </c>
    </row>
    <row r="104" spans="1:13" hidden="1">
      <c r="A104" s="434" t="s">
        <v>987</v>
      </c>
      <c r="B104" s="441" t="s">
        <v>988</v>
      </c>
      <c r="C104" s="887">
        <f>VLOOKUP(A104,'Ingresos Proyecciones'!$A$11:$P$121,LOOKUP($C$25,'Ingresos Proyecciones'!$C$9:$P$9,'Ingresos Proyecciones'!$C$178:$P$178),FALSE)</f>
        <v>0</v>
      </c>
      <c r="D104" s="6"/>
      <c r="E104" s="6">
        <f t="shared" si="17"/>
        <v>0</v>
      </c>
      <c r="F104" s="425">
        <f t="shared" si="14"/>
        <v>0</v>
      </c>
      <c r="G104" s="6"/>
      <c r="H104" s="6"/>
      <c r="I104" s="989" t="e">
        <f t="shared" si="15"/>
        <v>#DIV/0!</v>
      </c>
      <c r="J104" s="6"/>
      <c r="K104" s="989" t="e">
        <f t="shared" si="12"/>
        <v>#DIV/0!</v>
      </c>
      <c r="L104" s="989" t="e">
        <f t="shared" si="16"/>
        <v>#DIV/0!</v>
      </c>
      <c r="M104" s="6">
        <f>VLOOKUP(A104,'Ingresos Proyecciones'!$A$11:$P$121,LOOKUP($O$190,'Ingresos Proyecciones'!$C$9:$P$9,'Ingresos Proyecciones'!$C$178:$P$178),FALSE)</f>
        <v>0</v>
      </c>
    </row>
    <row r="105" spans="1:13" hidden="1">
      <c r="A105" s="434" t="s">
        <v>989</v>
      </c>
      <c r="B105" s="441" t="s">
        <v>990</v>
      </c>
      <c r="C105" s="887">
        <f>VLOOKUP(A105,'Ingresos Proyecciones'!$A$11:$P$121,LOOKUP($C$25,'Ingresos Proyecciones'!$C$9:$P$9,'Ingresos Proyecciones'!$C$178:$P$178),FALSE)</f>
        <v>0</v>
      </c>
      <c r="D105" s="6"/>
      <c r="E105" s="6">
        <f t="shared" si="17"/>
        <v>0</v>
      </c>
      <c r="F105" s="425">
        <f t="shared" si="14"/>
        <v>0</v>
      </c>
      <c r="G105" s="6"/>
      <c r="H105" s="6"/>
      <c r="I105" s="989" t="e">
        <f t="shared" si="15"/>
        <v>#DIV/0!</v>
      </c>
      <c r="J105" s="6"/>
      <c r="K105" s="989" t="e">
        <f t="shared" si="12"/>
        <v>#DIV/0!</v>
      </c>
      <c r="L105" s="989" t="e">
        <f t="shared" si="16"/>
        <v>#DIV/0!</v>
      </c>
      <c r="M105" s="6">
        <f>VLOOKUP(A105,'Ingresos Proyecciones'!$A$11:$P$121,LOOKUP($O$190,'Ingresos Proyecciones'!$C$9:$P$9,'Ingresos Proyecciones'!$C$178:$P$178),FALSE)</f>
        <v>0</v>
      </c>
    </row>
    <row r="106" spans="1:13" hidden="1">
      <c r="A106" s="434" t="s">
        <v>991</v>
      </c>
      <c r="B106" s="441" t="s">
        <v>992</v>
      </c>
      <c r="C106" s="887">
        <f>VLOOKUP(A106,'Ingresos Proyecciones'!$A$11:$P$121,LOOKUP($C$25,'Ingresos Proyecciones'!$C$9:$P$9,'Ingresos Proyecciones'!$C$178:$P$178),FALSE)</f>
        <v>0</v>
      </c>
      <c r="D106" s="6"/>
      <c r="E106" s="6">
        <f t="shared" si="17"/>
        <v>0</v>
      </c>
      <c r="F106" s="425">
        <f t="shared" si="14"/>
        <v>0</v>
      </c>
      <c r="G106" s="6"/>
      <c r="H106" s="6"/>
      <c r="I106" s="989" t="e">
        <f t="shared" si="15"/>
        <v>#DIV/0!</v>
      </c>
      <c r="J106" s="6"/>
      <c r="K106" s="989" t="e">
        <f t="shared" si="12"/>
        <v>#DIV/0!</v>
      </c>
      <c r="L106" s="989" t="e">
        <f t="shared" si="16"/>
        <v>#DIV/0!</v>
      </c>
      <c r="M106" s="6">
        <f>VLOOKUP(A106,'Ingresos Proyecciones'!$A$11:$P$121,LOOKUP($O$190,'Ingresos Proyecciones'!$C$9:$P$9,'Ingresos Proyecciones'!$C$178:$P$178),FALSE)</f>
        <v>0</v>
      </c>
    </row>
    <row r="107" spans="1:13" hidden="1">
      <c r="A107" s="434" t="s">
        <v>993</v>
      </c>
      <c r="B107" s="441" t="s">
        <v>994</v>
      </c>
      <c r="C107" s="887">
        <f>VLOOKUP(A107,'Ingresos Proyecciones'!$A$11:$P$121,LOOKUP($C$25,'Ingresos Proyecciones'!$C$9:$P$9,'Ingresos Proyecciones'!$C$178:$P$178),FALSE)</f>
        <v>0</v>
      </c>
      <c r="D107" s="6"/>
      <c r="E107" s="6">
        <f t="shared" si="17"/>
        <v>0</v>
      </c>
      <c r="F107" s="425">
        <f t="shared" si="14"/>
        <v>0</v>
      </c>
      <c r="G107" s="6"/>
      <c r="H107" s="6"/>
      <c r="I107" s="989" t="e">
        <f t="shared" si="15"/>
        <v>#DIV/0!</v>
      </c>
      <c r="J107" s="6"/>
      <c r="K107" s="989" t="e">
        <f t="shared" si="12"/>
        <v>#DIV/0!</v>
      </c>
      <c r="L107" s="989" t="e">
        <f t="shared" si="16"/>
        <v>#DIV/0!</v>
      </c>
      <c r="M107" s="6">
        <f>VLOOKUP(A107,'Ingresos Proyecciones'!$A$11:$P$121,LOOKUP($O$190,'Ingresos Proyecciones'!$C$9:$P$9,'Ingresos Proyecciones'!$C$178:$P$178),FALSE)</f>
        <v>0</v>
      </c>
    </row>
    <row r="108" spans="1:13" hidden="1">
      <c r="A108" s="434" t="s">
        <v>995</v>
      </c>
      <c r="B108" s="441" t="s">
        <v>996</v>
      </c>
      <c r="C108" s="887">
        <f>VLOOKUP(A108,'Ingresos Proyecciones'!$A$11:$P$121,LOOKUP($C$25,'Ingresos Proyecciones'!$C$9:$P$9,'Ingresos Proyecciones'!$C$178:$P$178),FALSE)</f>
        <v>0</v>
      </c>
      <c r="D108" s="6"/>
      <c r="E108" s="6">
        <f t="shared" si="17"/>
        <v>0</v>
      </c>
      <c r="F108" s="425">
        <f t="shared" si="14"/>
        <v>0</v>
      </c>
      <c r="G108" s="6"/>
      <c r="H108" s="6"/>
      <c r="I108" s="989" t="e">
        <f t="shared" si="15"/>
        <v>#DIV/0!</v>
      </c>
      <c r="J108" s="6"/>
      <c r="K108" s="989" t="e">
        <f t="shared" si="12"/>
        <v>#DIV/0!</v>
      </c>
      <c r="L108" s="989" t="e">
        <f t="shared" si="16"/>
        <v>#DIV/0!</v>
      </c>
      <c r="M108" s="6">
        <f>VLOOKUP(A108,'Ingresos Proyecciones'!$A$11:$P$121,LOOKUP($O$190,'Ingresos Proyecciones'!$C$9:$P$9,'Ingresos Proyecciones'!$C$178:$P$178),FALSE)</f>
        <v>0</v>
      </c>
    </row>
    <row r="109" spans="1:13" hidden="1">
      <c r="A109" s="434" t="s">
        <v>997</v>
      </c>
      <c r="B109" s="440" t="s">
        <v>998</v>
      </c>
      <c r="C109" s="887">
        <f>VLOOKUP(A109,'Ingresos Proyecciones'!$A$11:$P$121,LOOKUP($C$25,'Ingresos Proyecciones'!$C$9:$P$9,'Ingresos Proyecciones'!$C$178:$P$178),FALSE)</f>
        <v>0</v>
      </c>
      <c r="D109" s="6"/>
      <c r="E109" s="6">
        <f t="shared" si="17"/>
        <v>0</v>
      </c>
      <c r="F109" s="425">
        <f t="shared" si="14"/>
        <v>0</v>
      </c>
      <c r="G109" s="6"/>
      <c r="H109" s="6"/>
      <c r="I109" s="989" t="e">
        <f t="shared" si="15"/>
        <v>#DIV/0!</v>
      </c>
      <c r="J109" s="6"/>
      <c r="K109" s="989" t="e">
        <f t="shared" si="12"/>
        <v>#DIV/0!</v>
      </c>
      <c r="L109" s="989" t="e">
        <f t="shared" si="16"/>
        <v>#DIV/0!</v>
      </c>
      <c r="M109" s="6">
        <f>VLOOKUP(A109,'Ingresos Proyecciones'!$A$11:$P$121,LOOKUP($O$190,'Ingresos Proyecciones'!$C$9:$P$9,'Ingresos Proyecciones'!$C$178:$P$178),FALSE)</f>
        <v>0</v>
      </c>
    </row>
    <row r="110" spans="1:13" hidden="1">
      <c r="A110" s="434" t="s">
        <v>999</v>
      </c>
      <c r="B110" s="440" t="s">
        <v>1000</v>
      </c>
      <c r="C110" s="887">
        <f>VLOOKUP(A110,'Ingresos Proyecciones'!$A$11:$P$121,LOOKUP($C$25,'Ingresos Proyecciones'!$C$9:$P$9,'Ingresos Proyecciones'!$C$178:$P$178),FALSE)</f>
        <v>0</v>
      </c>
      <c r="D110" s="6"/>
      <c r="E110" s="6">
        <f t="shared" si="17"/>
        <v>0</v>
      </c>
      <c r="F110" s="425">
        <f t="shared" si="14"/>
        <v>0</v>
      </c>
      <c r="G110" s="6"/>
      <c r="H110" s="6"/>
      <c r="I110" s="989" t="e">
        <f t="shared" si="15"/>
        <v>#DIV/0!</v>
      </c>
      <c r="J110" s="6"/>
      <c r="K110" s="989" t="e">
        <f t="shared" si="12"/>
        <v>#DIV/0!</v>
      </c>
      <c r="L110" s="989" t="e">
        <f t="shared" si="16"/>
        <v>#DIV/0!</v>
      </c>
      <c r="M110" s="6">
        <f>VLOOKUP(A110,'Ingresos Proyecciones'!$A$11:$P$121,LOOKUP($O$190,'Ingresos Proyecciones'!$C$9:$P$9,'Ingresos Proyecciones'!$C$178:$P$178),FALSE)</f>
        <v>0</v>
      </c>
    </row>
    <row r="111" spans="1:13">
      <c r="A111" s="434" t="s">
        <v>1001</v>
      </c>
      <c r="B111" s="440" t="s">
        <v>1002</v>
      </c>
      <c r="C111" s="888" t="e">
        <f>+C112+C113+C118+C119+C120+C121+C122</f>
        <v>#N/A</v>
      </c>
      <c r="D111" s="32">
        <f>+D112+D113+D118+D119+D120+D121+D122</f>
        <v>1000</v>
      </c>
      <c r="E111" s="32" t="e">
        <f>+E112+E113+E118+E119+E120+E121+E122</f>
        <v>#N/A</v>
      </c>
      <c r="F111" s="432" t="e">
        <f t="shared" si="14"/>
        <v>#N/A</v>
      </c>
      <c r="G111" s="32">
        <f>+G112+G113+G118+G119+G120+G121+G122</f>
        <v>0</v>
      </c>
      <c r="H111" s="32">
        <f>+H112+H113+H118+H119+H120+H121+H122</f>
        <v>0</v>
      </c>
      <c r="I111" s="424" t="e">
        <f t="shared" si="15"/>
        <v>#N/A</v>
      </c>
      <c r="J111" s="32">
        <f>+J112+J113+J118+J119+J120+J121+J122</f>
        <v>0</v>
      </c>
      <c r="K111" s="424">
        <v>1</v>
      </c>
      <c r="L111" s="424" t="e">
        <f t="shared" si="16"/>
        <v>#N/A</v>
      </c>
      <c r="M111" s="32" t="e">
        <f>+M112+M113+M118+M119+M120+M121+M122</f>
        <v>#N/A</v>
      </c>
    </row>
    <row r="112" spans="1:13" hidden="1">
      <c r="A112" s="434" t="s">
        <v>1003</v>
      </c>
      <c r="B112" s="440" t="s">
        <v>1004</v>
      </c>
      <c r="C112" s="887">
        <f>VLOOKUP(A112,'Ingresos Proyecciones'!$A$11:$P$121,LOOKUP($C$25,'Ingresos Proyecciones'!$C$9:$P$9,'Ingresos Proyecciones'!$C$178:$P$178),FALSE)</f>
        <v>0</v>
      </c>
      <c r="D112" s="6"/>
      <c r="E112" s="6">
        <f>+C112</f>
        <v>0</v>
      </c>
      <c r="F112" s="425">
        <f t="shared" si="14"/>
        <v>0</v>
      </c>
      <c r="G112" s="6"/>
      <c r="H112" s="6"/>
      <c r="I112" s="989" t="e">
        <f t="shared" si="15"/>
        <v>#DIV/0!</v>
      </c>
      <c r="J112" s="6"/>
      <c r="K112" s="989" t="e">
        <f t="shared" ref="K112:K120" si="18">+(H112/J112)-1</f>
        <v>#DIV/0!</v>
      </c>
      <c r="L112" s="989" t="e">
        <f t="shared" si="16"/>
        <v>#DIV/0!</v>
      </c>
      <c r="M112" s="6">
        <f>VLOOKUP(A112,'Ingresos Proyecciones'!$A$11:$P$121,LOOKUP($O$190,'Ingresos Proyecciones'!$C$9:$P$9,'Ingresos Proyecciones'!$C$178:$P$178),FALSE)</f>
        <v>0</v>
      </c>
    </row>
    <row r="113" spans="1:13" hidden="1">
      <c r="A113" s="434" t="s">
        <v>1005</v>
      </c>
      <c r="B113" s="440" t="s">
        <v>1006</v>
      </c>
      <c r="C113" s="888">
        <f>SUM(C114:C117)</f>
        <v>0</v>
      </c>
      <c r="D113" s="32">
        <f>SUM(D114:D117)</f>
        <v>0</v>
      </c>
      <c r="E113" s="32">
        <f>SUM(E114:E117)</f>
        <v>0</v>
      </c>
      <c r="F113" s="432">
        <f t="shared" si="14"/>
        <v>0</v>
      </c>
      <c r="G113" s="32">
        <f>SUM(G114:G117)</f>
        <v>0</v>
      </c>
      <c r="H113" s="32">
        <f>SUM(H114:H117)</f>
        <v>0</v>
      </c>
      <c r="I113" s="424" t="e">
        <f t="shared" si="15"/>
        <v>#DIV/0!</v>
      </c>
      <c r="J113" s="32">
        <f>SUM(J114:J117)</f>
        <v>0</v>
      </c>
      <c r="K113" s="424" t="e">
        <f t="shared" si="18"/>
        <v>#DIV/0!</v>
      </c>
      <c r="L113" s="424" t="e">
        <f t="shared" si="16"/>
        <v>#DIV/0!</v>
      </c>
      <c r="M113" s="32">
        <f>SUM(M114:M117)</f>
        <v>0</v>
      </c>
    </row>
    <row r="114" spans="1:13" hidden="1">
      <c r="A114" s="434" t="s">
        <v>1007</v>
      </c>
      <c r="B114" s="441" t="s">
        <v>1008</v>
      </c>
      <c r="C114" s="887">
        <f>VLOOKUP(A114,'Ingresos Proyecciones'!$A$11:$P$121,LOOKUP($C$25,'Ingresos Proyecciones'!$C$9:$P$9,'Ingresos Proyecciones'!$C$178:$P$178),FALSE)</f>
        <v>0</v>
      </c>
      <c r="D114" s="6"/>
      <c r="E114" s="6">
        <f t="shared" ref="E114:E124" si="19">+C114</f>
        <v>0</v>
      </c>
      <c r="F114" s="425">
        <f t="shared" si="14"/>
        <v>0</v>
      </c>
      <c r="G114" s="6"/>
      <c r="H114" s="6"/>
      <c r="I114" s="989" t="e">
        <f t="shared" si="15"/>
        <v>#DIV/0!</v>
      </c>
      <c r="J114" s="6"/>
      <c r="K114" s="989" t="e">
        <f t="shared" si="18"/>
        <v>#DIV/0!</v>
      </c>
      <c r="L114" s="989" t="e">
        <f t="shared" si="16"/>
        <v>#DIV/0!</v>
      </c>
      <c r="M114" s="6">
        <f>VLOOKUP(A114,'Ingresos Proyecciones'!$A$11:$P$121,LOOKUP($O$190,'Ingresos Proyecciones'!$C$9:$P$9,'Ingresos Proyecciones'!$C$178:$P$178),FALSE)</f>
        <v>0</v>
      </c>
    </row>
    <row r="115" spans="1:13" hidden="1">
      <c r="A115" s="434" t="s">
        <v>1009</v>
      </c>
      <c r="B115" s="441" t="s">
        <v>1010</v>
      </c>
      <c r="C115" s="887">
        <f>VLOOKUP(A115,'Ingresos Proyecciones'!$A$11:$P$121,LOOKUP($C$25,'Ingresos Proyecciones'!$C$9:$P$9,'Ingresos Proyecciones'!$C$178:$P$178),FALSE)</f>
        <v>0</v>
      </c>
      <c r="D115" s="6"/>
      <c r="E115" s="6">
        <f t="shared" si="19"/>
        <v>0</v>
      </c>
      <c r="F115" s="425">
        <f t="shared" si="14"/>
        <v>0</v>
      </c>
      <c r="G115" s="6"/>
      <c r="H115" s="6"/>
      <c r="I115" s="989" t="e">
        <f t="shared" si="15"/>
        <v>#DIV/0!</v>
      </c>
      <c r="J115" s="6"/>
      <c r="K115" s="989" t="e">
        <f t="shared" si="18"/>
        <v>#DIV/0!</v>
      </c>
      <c r="L115" s="989" t="e">
        <f t="shared" si="16"/>
        <v>#DIV/0!</v>
      </c>
      <c r="M115" s="6">
        <f>VLOOKUP(A115,'Ingresos Proyecciones'!$A$11:$P$121,LOOKUP($O$190,'Ingresos Proyecciones'!$C$9:$P$9,'Ingresos Proyecciones'!$C$178:$P$178),FALSE)</f>
        <v>0</v>
      </c>
    </row>
    <row r="116" spans="1:13" hidden="1">
      <c r="A116" s="434" t="s">
        <v>1011</v>
      </c>
      <c r="B116" s="441" t="s">
        <v>1012</v>
      </c>
      <c r="C116" s="887">
        <f>VLOOKUP(A116,'Ingresos Proyecciones'!$A$11:$P$121,LOOKUP($C$25,'Ingresos Proyecciones'!$C$9:$P$9,'Ingresos Proyecciones'!$C$178:$P$178),FALSE)</f>
        <v>0</v>
      </c>
      <c r="D116" s="6"/>
      <c r="E116" s="6">
        <f t="shared" si="19"/>
        <v>0</v>
      </c>
      <c r="F116" s="425">
        <f t="shared" si="14"/>
        <v>0</v>
      </c>
      <c r="G116" s="6"/>
      <c r="H116" s="6"/>
      <c r="I116" s="989" t="e">
        <f t="shared" si="15"/>
        <v>#DIV/0!</v>
      </c>
      <c r="J116" s="6"/>
      <c r="K116" s="989" t="e">
        <f t="shared" si="18"/>
        <v>#DIV/0!</v>
      </c>
      <c r="L116" s="989" t="e">
        <f t="shared" si="16"/>
        <v>#DIV/0!</v>
      </c>
      <c r="M116" s="6">
        <f>VLOOKUP(A116,'Ingresos Proyecciones'!$A$11:$P$121,LOOKUP($O$190,'Ingresos Proyecciones'!$C$9:$P$9,'Ingresos Proyecciones'!$C$178:$P$178),FALSE)</f>
        <v>0</v>
      </c>
    </row>
    <row r="117" spans="1:13" hidden="1">
      <c r="A117" s="434" t="s">
        <v>1013</v>
      </c>
      <c r="B117" s="441" t="s">
        <v>1014</v>
      </c>
      <c r="C117" s="887">
        <f>VLOOKUP(A117,'Ingresos Proyecciones'!$A$11:$P$121,LOOKUP($C$25,'Ingresos Proyecciones'!$C$9:$P$9,'Ingresos Proyecciones'!$C$178:$P$178),FALSE)</f>
        <v>0</v>
      </c>
      <c r="D117" s="6"/>
      <c r="E117" s="6">
        <f t="shared" si="19"/>
        <v>0</v>
      </c>
      <c r="F117" s="425">
        <f t="shared" si="14"/>
        <v>0</v>
      </c>
      <c r="G117" s="6"/>
      <c r="H117" s="6"/>
      <c r="I117" s="989" t="e">
        <f t="shared" si="15"/>
        <v>#DIV/0!</v>
      </c>
      <c r="J117" s="6"/>
      <c r="K117" s="989" t="e">
        <f t="shared" si="18"/>
        <v>#DIV/0!</v>
      </c>
      <c r="L117" s="989" t="e">
        <f t="shared" si="16"/>
        <v>#DIV/0!</v>
      </c>
      <c r="M117" s="6">
        <f>VLOOKUP(A117,'Ingresos Proyecciones'!$A$11:$P$121,LOOKUP($O$190,'Ingresos Proyecciones'!$C$9:$P$9,'Ingresos Proyecciones'!$C$178:$P$178),FALSE)</f>
        <v>0</v>
      </c>
    </row>
    <row r="118" spans="1:13" hidden="1">
      <c r="A118" s="434" t="s">
        <v>1015</v>
      </c>
      <c r="B118" s="440" t="s">
        <v>1016</v>
      </c>
      <c r="C118" s="889">
        <f>VLOOKUP(A118,'Ingresos Proyecciones'!$A$11:$P$121,LOOKUP($C$25,'Ingresos Proyecciones'!$C$9:$P$9,'Ingresos Proyecciones'!$C$178:$P$178),FALSE)</f>
        <v>0</v>
      </c>
      <c r="D118" s="6"/>
      <c r="E118" s="6">
        <f t="shared" si="19"/>
        <v>0</v>
      </c>
      <c r="F118" s="44">
        <f t="shared" si="14"/>
        <v>0</v>
      </c>
      <c r="G118" s="6"/>
      <c r="H118" s="6"/>
      <c r="I118" s="427" t="e">
        <f t="shared" si="15"/>
        <v>#DIV/0!</v>
      </c>
      <c r="J118" s="6"/>
      <c r="K118" s="989" t="e">
        <f t="shared" si="18"/>
        <v>#DIV/0!</v>
      </c>
      <c r="L118" s="989" t="e">
        <f t="shared" si="16"/>
        <v>#DIV/0!</v>
      </c>
      <c r="M118" s="6">
        <f>VLOOKUP(A118,'Ingresos Proyecciones'!$A$11:$P$121,LOOKUP($O$190,'Ingresos Proyecciones'!$C$9:$P$9,'Ingresos Proyecciones'!$C$178:$P$178),FALSE)</f>
        <v>0</v>
      </c>
    </row>
    <row r="119" spans="1:13" hidden="1">
      <c r="A119" s="434" t="s">
        <v>1017</v>
      </c>
      <c r="B119" s="440" t="s">
        <v>1018</v>
      </c>
      <c r="C119" s="887">
        <f>VLOOKUP(A119,'Ingresos Proyecciones'!$A$11:$P$121,LOOKUP($C$25,'Ingresos Proyecciones'!$C$9:$P$9,'Ingresos Proyecciones'!$C$178:$P$178),FALSE)</f>
        <v>0</v>
      </c>
      <c r="D119" s="6"/>
      <c r="E119" s="6">
        <f t="shared" si="19"/>
        <v>0</v>
      </c>
      <c r="F119" s="425">
        <f t="shared" si="14"/>
        <v>0</v>
      </c>
      <c r="G119" s="6"/>
      <c r="H119" s="6"/>
      <c r="I119" s="989" t="e">
        <f t="shared" si="15"/>
        <v>#DIV/0!</v>
      </c>
      <c r="J119" s="6"/>
      <c r="K119" s="989" t="e">
        <f t="shared" si="18"/>
        <v>#DIV/0!</v>
      </c>
      <c r="L119" s="989" t="e">
        <f t="shared" si="16"/>
        <v>#DIV/0!</v>
      </c>
      <c r="M119" s="6">
        <f>VLOOKUP(A119,'Ingresos Proyecciones'!$A$11:$P$121,LOOKUP($O$190,'Ingresos Proyecciones'!$C$9:$P$9,'Ingresos Proyecciones'!$C$178:$P$178),FALSE)</f>
        <v>0</v>
      </c>
    </row>
    <row r="120" spans="1:13" hidden="1">
      <c r="A120" s="434" t="s">
        <v>1019</v>
      </c>
      <c r="B120" s="440" t="s">
        <v>1020</v>
      </c>
      <c r="C120" s="887">
        <f>VLOOKUP(A120,'Ingresos Proyecciones'!$A$11:$P$121,LOOKUP($C$25,'Ingresos Proyecciones'!$C$9:$P$9,'Ingresos Proyecciones'!$C$178:$P$178),FALSE)</f>
        <v>0</v>
      </c>
      <c r="D120" s="6"/>
      <c r="E120" s="6">
        <f t="shared" si="19"/>
        <v>0</v>
      </c>
      <c r="F120" s="425">
        <f t="shared" si="14"/>
        <v>0</v>
      </c>
      <c r="G120" s="6"/>
      <c r="H120" s="6"/>
      <c r="I120" s="989" t="e">
        <f t="shared" si="15"/>
        <v>#DIV/0!</v>
      </c>
      <c r="J120" s="6"/>
      <c r="K120" s="989" t="e">
        <f t="shared" si="18"/>
        <v>#DIV/0!</v>
      </c>
      <c r="L120" s="989" t="e">
        <f t="shared" si="16"/>
        <v>#DIV/0!</v>
      </c>
      <c r="M120" s="6">
        <f>VLOOKUP(A120,'Ingresos Proyecciones'!$A$11:$P$121,LOOKUP($O$190,'Ingresos Proyecciones'!$C$9:$P$9,'Ingresos Proyecciones'!$C$178:$P$178),FALSE)</f>
        <v>0</v>
      </c>
    </row>
    <row r="121" spans="1:13">
      <c r="A121" s="434" t="s">
        <v>1021</v>
      </c>
      <c r="B121" s="440" t="s">
        <v>1022</v>
      </c>
      <c r="C121" s="887">
        <f>VLOOKUP(A121,'Ingresos Proyecciones'!$A$11:$P$121,LOOKUP($C$25,'Ingresos Proyecciones'!$C$9:$P$9,'Ingresos Proyecciones'!$C$178:$P$178),FALSE)</f>
        <v>1000</v>
      </c>
      <c r="D121" s="6">
        <v>1000</v>
      </c>
      <c r="E121" s="6">
        <f t="shared" si="19"/>
        <v>1000</v>
      </c>
      <c r="F121" s="425">
        <f t="shared" si="14"/>
        <v>0</v>
      </c>
      <c r="G121" s="6"/>
      <c r="H121" s="6">
        <v>0</v>
      </c>
      <c r="I121" s="989">
        <f t="shared" si="15"/>
        <v>0</v>
      </c>
      <c r="J121" s="6">
        <v>0</v>
      </c>
      <c r="K121" s="989">
        <v>1</v>
      </c>
      <c r="L121" s="989">
        <f t="shared" si="16"/>
        <v>0</v>
      </c>
      <c r="M121" s="6">
        <f>VLOOKUP(A121,'Ingresos Proyecciones'!$A$11:$P$121,LOOKUP($O$190,'Ingresos Proyecciones'!$C$9:$P$9,'Ingresos Proyecciones'!$C$178:$P$178),FALSE)</f>
        <v>1000</v>
      </c>
    </row>
    <row r="122" spans="1:13" hidden="1">
      <c r="A122" s="434" t="s">
        <v>1023</v>
      </c>
      <c r="B122" s="440" t="s">
        <v>1024</v>
      </c>
      <c r="C122" s="887" t="e">
        <f>VLOOKUP(A122,'Ingresos Proyecciones'!$A$11:$P$121,LOOKUP($C$25,'Ingresos Proyecciones'!$C$9:$P$9,'Ingresos Proyecciones'!$C$178:$P$178),FALSE)</f>
        <v>#N/A</v>
      </c>
      <c r="D122" s="6"/>
      <c r="E122" s="6" t="e">
        <f t="shared" si="19"/>
        <v>#N/A</v>
      </c>
      <c r="F122" s="425" t="e">
        <f t="shared" si="14"/>
        <v>#N/A</v>
      </c>
      <c r="G122" s="6"/>
      <c r="H122" s="6"/>
      <c r="I122" s="989" t="e">
        <f t="shared" si="15"/>
        <v>#N/A</v>
      </c>
      <c r="J122" s="6"/>
      <c r="K122" s="989" t="e">
        <f t="shared" ref="K122:K130" si="20">+(H122/J122)-1</f>
        <v>#DIV/0!</v>
      </c>
      <c r="L122" s="989" t="e">
        <f t="shared" si="16"/>
        <v>#N/A</v>
      </c>
      <c r="M122" s="6" t="e">
        <f>VLOOKUP(A122,'Ingresos Proyecciones'!$A$11:$P$121,LOOKUP($O$190,'Ingresos Proyecciones'!$C$9:$P$9,'Ingresos Proyecciones'!$C$178:$P$178),FALSE)</f>
        <v>#N/A</v>
      </c>
    </row>
    <row r="123" spans="1:13">
      <c r="A123" s="434" t="s">
        <v>1025</v>
      </c>
      <c r="B123" s="440" t="s">
        <v>1026</v>
      </c>
      <c r="C123" s="887">
        <f>VLOOKUP(A123,'Ingresos Proyecciones'!$A$11:$P$121,LOOKUP($C$25,'Ingresos Proyecciones'!$C$9:$P$9,'Ingresos Proyecciones'!$C$178:$P$178),FALSE)</f>
        <v>500</v>
      </c>
      <c r="D123" s="6">
        <v>500</v>
      </c>
      <c r="E123" s="6">
        <f t="shared" si="19"/>
        <v>500</v>
      </c>
      <c r="F123" s="425">
        <f t="shared" ref="F123:F130" si="21">+E123-D123</f>
        <v>0</v>
      </c>
      <c r="G123" s="6"/>
      <c r="H123" s="6">
        <v>2598</v>
      </c>
      <c r="I123" s="989">
        <f t="shared" ref="I123:I130" si="22">+H123/E123</f>
        <v>5.1959999999999997</v>
      </c>
      <c r="J123" s="6">
        <v>450</v>
      </c>
      <c r="K123" s="424">
        <f t="shared" si="20"/>
        <v>4.7733333333333334</v>
      </c>
      <c r="L123" s="989">
        <f t="shared" ref="L123:L130" si="23">+H123/C123</f>
        <v>5.1959999999999997</v>
      </c>
      <c r="M123" s="6">
        <f>VLOOKUP(A123,'Ingresos Proyecciones'!$A$11:$P$121,LOOKUP($O$190,'Ingresos Proyecciones'!$C$9:$P$9,'Ingresos Proyecciones'!$C$178:$P$178),FALSE)</f>
        <v>500</v>
      </c>
    </row>
    <row r="124" spans="1:13" hidden="1">
      <c r="A124" s="434" t="s">
        <v>1027</v>
      </c>
      <c r="B124" s="440" t="s">
        <v>1028</v>
      </c>
      <c r="C124" s="887">
        <f>VLOOKUP(A124,'Ingresos Proyecciones'!$A$11:$P$121,LOOKUP($C$25,'Ingresos Proyecciones'!$C$9:$P$9,'Ingresos Proyecciones'!$C$178:$P$178),FALSE)</f>
        <v>0</v>
      </c>
      <c r="D124" s="6"/>
      <c r="E124" s="6">
        <f t="shared" si="19"/>
        <v>0</v>
      </c>
      <c r="F124" s="425">
        <f t="shared" si="21"/>
        <v>0</v>
      </c>
      <c r="G124" s="6"/>
      <c r="H124" s="6"/>
      <c r="I124" s="989" t="e">
        <f t="shared" si="22"/>
        <v>#DIV/0!</v>
      </c>
      <c r="J124" s="6"/>
      <c r="K124" s="989" t="e">
        <f t="shared" si="20"/>
        <v>#DIV/0!</v>
      </c>
      <c r="L124" s="989" t="e">
        <f t="shared" si="23"/>
        <v>#DIV/0!</v>
      </c>
      <c r="M124" s="6">
        <f>VLOOKUP(A124,'Ingresos Proyecciones'!$A$11:$P$121,LOOKUP($O$190,'Ingresos Proyecciones'!$C$9:$P$9,'Ingresos Proyecciones'!$C$178:$P$178),FALSE)</f>
        <v>0</v>
      </c>
    </row>
    <row r="125" spans="1:13" hidden="1">
      <c r="A125" s="434" t="s">
        <v>1029</v>
      </c>
      <c r="B125" s="440" t="s">
        <v>1030</v>
      </c>
      <c r="C125" s="888">
        <f>SUM(C126:C127)</f>
        <v>0</v>
      </c>
      <c r="D125" s="32">
        <f>SUM(D126:D127)</f>
        <v>0</v>
      </c>
      <c r="E125" s="32">
        <f>SUM(E126:E127)</f>
        <v>0</v>
      </c>
      <c r="F125" s="432">
        <f t="shared" si="21"/>
        <v>0</v>
      </c>
      <c r="G125" s="32">
        <f>SUM(G126:G127)</f>
        <v>0</v>
      </c>
      <c r="H125" s="32">
        <f>SUM(H126:H127)</f>
        <v>0</v>
      </c>
      <c r="I125" s="424" t="e">
        <f t="shared" si="22"/>
        <v>#DIV/0!</v>
      </c>
      <c r="J125" s="32">
        <f>SUM(J126:J127)</f>
        <v>0</v>
      </c>
      <c r="K125" s="424" t="e">
        <f t="shared" si="20"/>
        <v>#DIV/0!</v>
      </c>
      <c r="L125" s="424" t="e">
        <f t="shared" si="23"/>
        <v>#DIV/0!</v>
      </c>
      <c r="M125" s="32">
        <f>SUM(M126:M127)</f>
        <v>0</v>
      </c>
    </row>
    <row r="126" spans="1:13" hidden="1">
      <c r="A126" s="434" t="s">
        <v>1031</v>
      </c>
      <c r="B126" s="441" t="s">
        <v>1032</v>
      </c>
      <c r="C126" s="887">
        <f>VLOOKUP(A126,'Ingresos Proyecciones'!$A$11:$P$121,LOOKUP($C$25,'Ingresos Proyecciones'!$C$9:$P$9,'Ingresos Proyecciones'!$C$178:$P$178),FALSE)</f>
        <v>0</v>
      </c>
      <c r="D126" s="6"/>
      <c r="E126" s="6">
        <f>+C126</f>
        <v>0</v>
      </c>
      <c r="F126" s="425">
        <f t="shared" si="21"/>
        <v>0</v>
      </c>
      <c r="G126" s="6"/>
      <c r="H126" s="6"/>
      <c r="I126" s="989" t="e">
        <f t="shared" si="22"/>
        <v>#DIV/0!</v>
      </c>
      <c r="J126" s="6"/>
      <c r="K126" s="989" t="e">
        <f t="shared" si="20"/>
        <v>#DIV/0!</v>
      </c>
      <c r="L126" s="989" t="e">
        <f t="shared" si="23"/>
        <v>#DIV/0!</v>
      </c>
      <c r="M126" s="6">
        <f>VLOOKUP(A126,'Ingresos Proyecciones'!$A$11:$P$121,LOOKUP($O$190,'Ingresos Proyecciones'!$C$9:$P$9,'Ingresos Proyecciones'!$C$178:$P$178),FALSE)</f>
        <v>0</v>
      </c>
    </row>
    <row r="127" spans="1:13" hidden="1">
      <c r="A127" s="434" t="s">
        <v>1033</v>
      </c>
      <c r="B127" s="441" t="s">
        <v>1034</v>
      </c>
      <c r="C127" s="887">
        <f>VLOOKUP(A127,'Ingresos Proyecciones'!$A$11:$P$121,LOOKUP($C$25,'Ingresos Proyecciones'!$C$9:$P$9,'Ingresos Proyecciones'!$C$178:$P$178),FALSE)</f>
        <v>0</v>
      </c>
      <c r="D127" s="6"/>
      <c r="E127" s="6">
        <f>+C127</f>
        <v>0</v>
      </c>
      <c r="F127" s="425">
        <f t="shared" si="21"/>
        <v>0</v>
      </c>
      <c r="G127" s="6"/>
      <c r="H127" s="6"/>
      <c r="I127" s="989" t="e">
        <f t="shared" si="22"/>
        <v>#DIV/0!</v>
      </c>
      <c r="J127" s="6"/>
      <c r="K127" s="989" t="e">
        <f t="shared" si="20"/>
        <v>#DIV/0!</v>
      </c>
      <c r="L127" s="989" t="e">
        <f t="shared" si="23"/>
        <v>#DIV/0!</v>
      </c>
      <c r="M127" s="6">
        <f>VLOOKUP(A127,'Ingresos Proyecciones'!$A$11:$P$121,LOOKUP($O$190,'Ingresos Proyecciones'!$C$9:$P$9,'Ingresos Proyecciones'!$C$178:$P$178),FALSE)</f>
        <v>0</v>
      </c>
    </row>
    <row r="128" spans="1:13" hidden="1">
      <c r="A128" s="434" t="s">
        <v>1035</v>
      </c>
      <c r="B128" s="440" t="s">
        <v>1036</v>
      </c>
      <c r="C128" s="889">
        <f>VLOOKUP(A128,'Ingresos Proyecciones'!$A$11:$P$121,LOOKUP($C$25,'Ingresos Proyecciones'!$C$9:$P$9,'Ingresos Proyecciones'!$C$178:$P$178),FALSE)</f>
        <v>0</v>
      </c>
      <c r="D128" s="6"/>
      <c r="E128" s="6">
        <f>+C128</f>
        <v>0</v>
      </c>
      <c r="F128" s="425">
        <f t="shared" si="21"/>
        <v>0</v>
      </c>
      <c r="G128" s="6"/>
      <c r="H128" s="6"/>
      <c r="I128" s="989" t="e">
        <f t="shared" si="22"/>
        <v>#DIV/0!</v>
      </c>
      <c r="J128" s="6"/>
      <c r="K128" s="989" t="e">
        <f t="shared" si="20"/>
        <v>#DIV/0!</v>
      </c>
      <c r="L128" s="989" t="e">
        <f t="shared" si="23"/>
        <v>#DIV/0!</v>
      </c>
      <c r="M128" s="6">
        <f>VLOOKUP(A128,'Ingresos Proyecciones'!$A$11:$P$121,LOOKUP($O$190,'Ingresos Proyecciones'!$C$9:$P$9,'Ingresos Proyecciones'!$C$178:$P$178),FALSE)</f>
        <v>0</v>
      </c>
    </row>
    <row r="129" spans="1:13" hidden="1">
      <c r="A129" s="434" t="s">
        <v>1037</v>
      </c>
      <c r="B129" s="440" t="s">
        <v>1038</v>
      </c>
      <c r="C129" s="889">
        <f>VLOOKUP(A129,'Ingresos Proyecciones'!$A$11:$P$121,LOOKUP($C$25,'Ingresos Proyecciones'!$C$9:$P$9,'Ingresos Proyecciones'!$C$178:$P$178),FALSE)</f>
        <v>0</v>
      </c>
      <c r="D129" s="6"/>
      <c r="E129" s="6">
        <f>+C129</f>
        <v>0</v>
      </c>
      <c r="F129" s="425">
        <f t="shared" si="21"/>
        <v>0</v>
      </c>
      <c r="G129" s="6"/>
      <c r="H129" s="6"/>
      <c r="I129" s="989" t="e">
        <f t="shared" si="22"/>
        <v>#DIV/0!</v>
      </c>
      <c r="J129" s="6"/>
      <c r="K129" s="989" t="e">
        <f t="shared" si="20"/>
        <v>#DIV/0!</v>
      </c>
      <c r="L129" s="989" t="e">
        <f t="shared" si="23"/>
        <v>#DIV/0!</v>
      </c>
      <c r="M129" s="6">
        <f>VLOOKUP(A129,'Ingresos Proyecciones'!$A$11:$P$121,LOOKUP($O$190,'Ingresos Proyecciones'!$C$9:$P$9,'Ingresos Proyecciones'!$C$178:$P$178),FALSE)</f>
        <v>0</v>
      </c>
    </row>
    <row r="130" spans="1:13" ht="13.5" hidden="1" thickBot="1">
      <c r="A130" s="436" t="s">
        <v>1039</v>
      </c>
      <c r="B130" s="729" t="s">
        <v>1040</v>
      </c>
      <c r="C130" s="890">
        <f>VLOOKUP(A130,'Ingresos Proyecciones'!$A$11:$P$121,LOOKUP($C$25,'Ingresos Proyecciones'!$C$9:$P$9,'Ingresos Proyecciones'!$C$178:$P$178),FALSE)</f>
        <v>0</v>
      </c>
      <c r="D130" s="70"/>
      <c r="E130" s="6">
        <f>+C130</f>
        <v>0</v>
      </c>
      <c r="F130" s="46">
        <f t="shared" si="21"/>
        <v>0</v>
      </c>
      <c r="G130" s="70"/>
      <c r="H130" s="70"/>
      <c r="I130" s="990" t="e">
        <f t="shared" si="22"/>
        <v>#DIV/0!</v>
      </c>
      <c r="J130" s="70"/>
      <c r="K130" s="990" t="e">
        <f t="shared" si="20"/>
        <v>#DIV/0!</v>
      </c>
      <c r="L130" s="990" t="e">
        <f t="shared" si="23"/>
        <v>#DIV/0!</v>
      </c>
      <c r="M130" s="70">
        <f>VLOOKUP(A130,'Ingresos Proyecciones'!$A$11:$P$121,LOOKUP($O$190,'Ingresos Proyecciones'!$C$9:$P$9,'Ingresos Proyecciones'!$C$178:$P$178),FALSE)</f>
        <v>0</v>
      </c>
    </row>
    <row r="132" spans="1:13" ht="15">
      <c r="A132" s="10"/>
    </row>
    <row r="133" spans="1:13">
      <c r="B133" s="429"/>
      <c r="C133" s="429"/>
      <c r="D133" s="429"/>
      <c r="E133" s="429"/>
    </row>
    <row r="134" spans="1:13">
      <c r="A134" s="429"/>
      <c r="B134" s="429"/>
      <c r="C134" s="429"/>
      <c r="D134" s="429"/>
      <c r="E134" s="429"/>
    </row>
    <row r="135" spans="1:13">
      <c r="A135" s="429"/>
      <c r="B135" s="429"/>
      <c r="C135" s="429"/>
      <c r="D135" s="429"/>
      <c r="E135" s="429"/>
    </row>
    <row r="178" spans="1:15">
      <c r="A178" s="882" t="s">
        <v>725</v>
      </c>
      <c r="B178" s="713"/>
    </row>
    <row r="179" spans="1:15" hidden="1">
      <c r="A179" s="713"/>
      <c r="B179" s="713"/>
      <c r="C179" s="9">
        <v>0</v>
      </c>
    </row>
    <row r="180" spans="1:15" hidden="1">
      <c r="A180" s="713"/>
      <c r="B180" s="713"/>
      <c r="C180" s="9">
        <v>1</v>
      </c>
    </row>
    <row r="181" spans="1:15" hidden="1">
      <c r="A181" s="713"/>
      <c r="B181" s="940" t="s">
        <v>1041</v>
      </c>
      <c r="C181" s="9">
        <v>2</v>
      </c>
    </row>
    <row r="182" spans="1:15" hidden="1">
      <c r="A182" s="713"/>
      <c r="B182" s="836" t="str">
        <f>$B$8&amp;" "&amp;"SUPERAVIT O AHORRO PRIMARIO"&amp;" " &amp;$B$10</f>
        <v>MUNICIPIO DE LA VEGA SUPERAVIT O AHORRO PRIMARIO 2005</v>
      </c>
      <c r="C182" s="9">
        <v>3</v>
      </c>
    </row>
    <row r="183" spans="1:15" hidden="1">
      <c r="A183" s="713"/>
      <c r="B183" s="836" t="str">
        <f>$B$8&amp;" "&amp; "DEFICIT O AHORRO CORRIENTE"&amp;" " &amp;$B$10</f>
        <v>MUNICIPIO DE LA VEGA DEFICIT O AHORRO CORRIENTE 2005</v>
      </c>
      <c r="C183" s="9">
        <v>4</v>
      </c>
    </row>
    <row r="184" spans="1:15" hidden="1">
      <c r="A184" s="713">
        <v>0</v>
      </c>
      <c r="B184" s="836" t="str">
        <f>$B$8&amp;" "&amp; "DEFICIT O AHORRO TOTAL"&amp;" " &amp;$B$10</f>
        <v>MUNICIPIO DE LA VEGA DEFICIT O AHORRO TOTAL 2005</v>
      </c>
      <c r="C184" s="9">
        <v>5</v>
      </c>
    </row>
    <row r="185" spans="1:15" hidden="1">
      <c r="A185" s="713">
        <v>1</v>
      </c>
      <c r="B185" s="836" t="str">
        <f>$B$8&amp;" "&amp; "COMPOSICION INGRESOS TRIBUTARIOS" &amp;" "&amp; $B$10</f>
        <v>MUNICIPIO DE LA VEGA COMPOSICION INGRESOS TRIBUTARIOS 2005</v>
      </c>
      <c r="C185" s="9">
        <v>6</v>
      </c>
    </row>
    <row r="186" spans="1:15" hidden="1">
      <c r="A186" s="713">
        <v>2</v>
      </c>
      <c r="B186" s="836" t="str">
        <f>$B$8&amp;" "&amp;  "COMPOSICION GASTOS DE FUNCIONAMIENTO"&amp;" " &amp;$B$10</f>
        <v>MUNICIPIO DE LA VEGA COMPOSICION GASTOS DE FUNCIONAMIENTO 2005</v>
      </c>
      <c r="C186" s="9">
        <v>7</v>
      </c>
      <c r="D186" s="422"/>
      <c r="E186" s="422"/>
      <c r="F186" s="422"/>
      <c r="G186" s="422"/>
      <c r="H186" s="422"/>
      <c r="I186" s="422"/>
      <c r="J186" s="422"/>
      <c r="K186" s="422"/>
      <c r="L186" s="422"/>
      <c r="M186" s="422"/>
    </row>
    <row r="187" spans="1:15" hidden="1">
      <c r="A187" s="713">
        <v>3</v>
      </c>
      <c r="B187" s="836" t="str">
        <f>$B$8&amp;" "&amp; "COMPOSICION DE INGRESOS"&amp;" "&amp;$B$10</f>
        <v>MUNICIPIO DE LA VEGA COMPOSICION DE INGRESOS 2005</v>
      </c>
      <c r="C187" s="9">
        <v>8</v>
      </c>
      <c r="D187" s="422"/>
      <c r="E187" s="422"/>
      <c r="F187" s="422"/>
      <c r="G187" s="422"/>
      <c r="H187" s="422"/>
      <c r="I187" s="422"/>
      <c r="J187" s="422"/>
      <c r="K187" s="422"/>
      <c r="L187" s="422"/>
      <c r="M187" s="422"/>
    </row>
    <row r="188" spans="1:15" hidden="1">
      <c r="A188" s="713">
        <v>4</v>
      </c>
      <c r="B188" s="836" t="str">
        <f>$B$8&amp;" "&amp; "COMPOSICION DE GASTOS"&amp;" "&amp;$B$10</f>
        <v>MUNICIPIO DE LA VEGA COMPOSICION DE GASTOS 2005</v>
      </c>
      <c r="C188" s="9">
        <v>9</v>
      </c>
      <c r="D188" s="422"/>
      <c r="E188" s="422"/>
      <c r="F188" s="422"/>
      <c r="G188" s="422"/>
      <c r="H188" s="422"/>
      <c r="I188" s="422"/>
      <c r="J188" s="422"/>
      <c r="K188" s="422"/>
      <c r="L188" s="422"/>
      <c r="M188" s="422"/>
    </row>
    <row r="189" spans="1:15" ht="13.5" hidden="1" thickBot="1">
      <c r="A189" s="713">
        <v>5</v>
      </c>
      <c r="B189" s="836" t="str">
        <f>$B$8&amp;" "&amp; "COMPOSICION DE TRANSFERENCIAS"&amp;" "&amp;$B$10</f>
        <v>MUNICIPIO DE LA VEGA COMPOSICION DE TRANSFERENCIAS 2005</v>
      </c>
      <c r="C189" s="9">
        <v>10</v>
      </c>
      <c r="D189" s="422"/>
      <c r="E189" s="422"/>
      <c r="F189" s="422" t="s">
        <v>1042</v>
      </c>
      <c r="G189" s="422" t="s">
        <v>1043</v>
      </c>
      <c r="H189" s="422" t="s">
        <v>1044</v>
      </c>
      <c r="I189" s="422" t="s">
        <v>1045</v>
      </c>
      <c r="J189" s="422" t="s">
        <v>1046</v>
      </c>
      <c r="K189" s="422" t="s">
        <v>1047</v>
      </c>
      <c r="L189" s="422" t="s">
        <v>1048</v>
      </c>
      <c r="M189" s="422" t="s">
        <v>1049</v>
      </c>
      <c r="N189" s="422" t="s">
        <v>1050</v>
      </c>
    </row>
    <row r="190" spans="1:15" ht="39" hidden="1" thickBot="1">
      <c r="A190" s="713">
        <v>6</v>
      </c>
      <c r="B190" s="713" t="s">
        <v>1051</v>
      </c>
      <c r="C190" s="9">
        <v>11</v>
      </c>
      <c r="D190" s="422"/>
      <c r="E190" s="422"/>
      <c r="F190" s="422">
        <f>IF(UPPER(B17)="X",1,0)+IF(UPPER(B18)="X",2,0)+IF(UPPER(B19)="X",3,0)</f>
        <v>1</v>
      </c>
      <c r="G190" s="430">
        <f>IF(E10=0,DATE(B10,12,31),IF(E10=2,DATE(B10,E10,28),IF(OR(E10=1,E10=3,E10=5,E10=7,E10=8,E10=10,E10=12),DATE(B10,E10,31),DATE(B10,E10,30))))</f>
        <v>38717</v>
      </c>
      <c r="H190" s="422">
        <f>B12</f>
        <v>6</v>
      </c>
      <c r="I190" s="422">
        <f>IF(UPPER(D21)="X",1,0)</f>
        <v>1</v>
      </c>
      <c r="J190" s="430">
        <f>I21</f>
        <v>37257</v>
      </c>
      <c r="K190" s="430">
        <f>I22</f>
        <v>42735</v>
      </c>
      <c r="L190" s="696" t="s">
        <v>1052</v>
      </c>
      <c r="M190" s="696"/>
      <c r="N190" s="696"/>
      <c r="O190" s="975" t="str">
        <f>"Escenario Financiero Año"&amp;" "&amp;('INGRESOS 2005'!$B$10)</f>
        <v>Escenario Financiero Año 2005</v>
      </c>
    </row>
    <row r="191" spans="1:15" hidden="1">
      <c r="A191" s="713">
        <f ca="1">YEAR(NOW())-7</f>
        <v>2005</v>
      </c>
      <c r="B191" s="713" t="s">
        <v>1053</v>
      </c>
      <c r="C191" s="9">
        <v>12</v>
      </c>
      <c r="D191" s="422"/>
      <c r="E191" s="422"/>
      <c r="F191" s="422"/>
      <c r="G191" s="422"/>
      <c r="H191" s="422"/>
      <c r="I191" s="422"/>
      <c r="J191" s="422"/>
      <c r="K191" s="422"/>
      <c r="L191" s="422"/>
      <c r="M191" s="422"/>
    </row>
    <row r="192" spans="1:15" hidden="1">
      <c r="A192" s="713">
        <f ca="1">YEAR(NOW())-6</f>
        <v>2006</v>
      </c>
      <c r="B192" s="713"/>
      <c r="C192" s="422"/>
      <c r="D192" s="422"/>
      <c r="E192" s="422"/>
      <c r="F192" s="422"/>
      <c r="I192" s="422"/>
      <c r="J192" s="422"/>
      <c r="K192" s="422"/>
      <c r="L192" s="422"/>
      <c r="M192" s="422"/>
    </row>
    <row r="193" spans="1:13" hidden="1">
      <c r="A193" s="713">
        <f ca="1">YEAR(NOW())-5</f>
        <v>2007</v>
      </c>
      <c r="B193" s="713"/>
      <c r="C193" s="422"/>
      <c r="D193" s="422"/>
      <c r="E193" s="422"/>
      <c r="F193" s="422"/>
      <c r="I193" s="422"/>
      <c r="J193" s="422"/>
      <c r="K193" s="422"/>
      <c r="L193" s="422"/>
      <c r="M193" s="422"/>
    </row>
    <row r="194" spans="1:13" hidden="1">
      <c r="A194" s="713">
        <f ca="1">YEAR(NOW())-4</f>
        <v>2008</v>
      </c>
      <c r="B194" s="910" t="b">
        <f>+IF(AND(B10=""),"SELECCIONE AÑO EN B10",(YEAR(I21)&lt;B10))</f>
        <v>1</v>
      </c>
      <c r="C194" s="422"/>
      <c r="D194" s="422"/>
      <c r="E194" s="422"/>
      <c r="F194" s="422"/>
      <c r="G194" s="422"/>
      <c r="H194" s="422"/>
      <c r="I194" s="422"/>
      <c r="J194" s="422"/>
      <c r="K194" s="422"/>
      <c r="L194" s="422"/>
      <c r="M194" s="422"/>
    </row>
    <row r="195" spans="1:13" hidden="1">
      <c r="A195" s="713">
        <f ca="1">YEAR(NOW())-3</f>
        <v>2009</v>
      </c>
      <c r="B195" s="713"/>
      <c r="C195" s="422"/>
      <c r="D195" s="422"/>
      <c r="E195" s="422"/>
      <c r="F195" s="422"/>
      <c r="G195" s="422"/>
      <c r="H195" s="422"/>
      <c r="I195" s="422"/>
      <c r="J195" s="422"/>
      <c r="K195" s="422"/>
      <c r="L195" s="422"/>
      <c r="M195" s="422"/>
    </row>
    <row r="196" spans="1:13" hidden="1">
      <c r="A196" s="713">
        <f ca="1">YEAR(NOW())-2</f>
        <v>2010</v>
      </c>
      <c r="B196" s="713"/>
      <c r="C196" s="422"/>
      <c r="D196" s="422"/>
      <c r="E196" s="422"/>
      <c r="F196" s="422"/>
      <c r="G196" s="422"/>
      <c r="H196" s="422"/>
      <c r="I196" s="422"/>
      <c r="J196" s="422"/>
      <c r="K196" s="422"/>
      <c r="L196" s="422"/>
      <c r="M196" s="422"/>
    </row>
    <row r="197" spans="1:13" hidden="1">
      <c r="A197" s="713">
        <f ca="1">YEAR(NOW())-1</f>
        <v>2011</v>
      </c>
      <c r="B197" s="713"/>
      <c r="C197" s="422"/>
      <c r="D197" s="422"/>
      <c r="E197" s="422"/>
      <c r="F197" s="422"/>
      <c r="G197" s="422"/>
      <c r="H197" s="422"/>
      <c r="I197" s="422"/>
      <c r="J197" s="422"/>
      <c r="K197" s="422"/>
      <c r="L197" s="422"/>
      <c r="M197" s="422"/>
    </row>
    <row r="198" spans="1:13" hidden="1">
      <c r="A198" s="713">
        <f ca="1">YEAR(NOW())-0</f>
        <v>2012</v>
      </c>
      <c r="B198" s="713"/>
      <c r="C198" s="422"/>
      <c r="D198" s="422"/>
      <c r="E198" s="422"/>
      <c r="F198" s="422"/>
      <c r="G198" s="422"/>
      <c r="H198" s="422"/>
      <c r="I198" s="422"/>
      <c r="J198" s="422"/>
      <c r="K198" s="422"/>
      <c r="L198" s="422"/>
      <c r="M198" s="422"/>
    </row>
    <row r="199" spans="1:13" hidden="1">
      <c r="A199" s="713">
        <f ca="1">YEAR(NOW())+1</f>
        <v>2013</v>
      </c>
      <c r="B199" s="713"/>
      <c r="C199" s="422"/>
      <c r="D199" s="422"/>
      <c r="E199" s="422"/>
      <c r="F199" s="422"/>
      <c r="G199" s="422"/>
      <c r="H199" s="422"/>
      <c r="I199" s="422"/>
      <c r="J199" s="422"/>
      <c r="K199" s="422"/>
      <c r="L199" s="422"/>
      <c r="M199" s="422"/>
    </row>
    <row r="200" spans="1:13" hidden="1">
      <c r="A200" s="713">
        <f ca="1">YEAR(NOW())+2</f>
        <v>2014</v>
      </c>
      <c r="B200" s="713"/>
      <c r="C200" s="422"/>
      <c r="D200" s="422"/>
      <c r="E200" s="422"/>
      <c r="F200" s="422"/>
      <c r="G200" s="422"/>
      <c r="H200" s="422"/>
      <c r="I200" s="422"/>
      <c r="J200" s="422"/>
      <c r="K200" s="422"/>
      <c r="L200" s="422"/>
      <c r="M200" s="422"/>
    </row>
    <row r="201" spans="1:13" hidden="1">
      <c r="A201" s="713">
        <f ca="1">YEAR(NOW())+3</f>
        <v>2015</v>
      </c>
      <c r="B201" s="713"/>
      <c r="C201" s="422"/>
      <c r="D201" s="422"/>
      <c r="E201" s="422"/>
      <c r="F201" s="422"/>
      <c r="G201" s="422"/>
      <c r="H201" s="422"/>
      <c r="I201" s="422"/>
      <c r="J201" s="422"/>
      <c r="K201" s="422"/>
      <c r="L201" s="422"/>
      <c r="M201" s="422"/>
    </row>
    <row r="202" spans="1:13" hidden="1">
      <c r="A202" s="713">
        <f ca="1">YEAR(NOW())+4</f>
        <v>2016</v>
      </c>
      <c r="B202" s="713"/>
      <c r="C202" s="422"/>
      <c r="D202" s="422"/>
      <c r="E202" s="422"/>
      <c r="F202" s="422"/>
      <c r="G202" s="422"/>
      <c r="H202" s="422"/>
      <c r="I202" s="422"/>
      <c r="J202" s="422"/>
      <c r="K202" s="422"/>
      <c r="L202" s="422"/>
      <c r="M202" s="422"/>
    </row>
    <row r="203" spans="1:13" hidden="1">
      <c r="A203" s="713">
        <f ca="1">YEAR(NOW())+5</f>
        <v>2017</v>
      </c>
      <c r="B203" s="713"/>
      <c r="C203" s="422"/>
      <c r="D203" s="422"/>
      <c r="E203" s="422"/>
      <c r="F203" s="422"/>
      <c r="G203" s="422"/>
      <c r="H203" s="422"/>
      <c r="I203" s="422"/>
      <c r="J203" s="422"/>
      <c r="K203" s="422"/>
      <c r="L203" s="422"/>
      <c r="M203" s="422"/>
    </row>
    <row r="204" spans="1:13" hidden="1">
      <c r="A204" s="713">
        <f ca="1">YEAR(NOW())+6</f>
        <v>2018</v>
      </c>
      <c r="B204" s="713"/>
      <c r="C204" s="422"/>
      <c r="D204" s="422"/>
      <c r="E204" s="422"/>
      <c r="F204" s="422"/>
      <c r="G204" s="422"/>
      <c r="H204" s="422"/>
      <c r="I204" s="422"/>
      <c r="J204" s="422"/>
      <c r="K204" s="422"/>
      <c r="L204" s="422"/>
      <c r="M204" s="422"/>
    </row>
    <row r="205" spans="1:13" hidden="1">
      <c r="A205" s="713">
        <f ca="1">YEAR(NOW())+7</f>
        <v>2019</v>
      </c>
      <c r="B205" s="713"/>
      <c r="C205" s="422"/>
      <c r="D205" s="422"/>
      <c r="E205" s="422"/>
      <c r="F205" s="422"/>
      <c r="G205" s="422"/>
      <c r="H205" s="422"/>
      <c r="I205" s="422"/>
      <c r="J205" s="422"/>
      <c r="K205" s="422"/>
      <c r="L205" s="422"/>
      <c r="M205" s="422"/>
    </row>
    <row r="206" spans="1:13" hidden="1">
      <c r="A206" s="713">
        <f ca="1">YEAR(NOW())+8</f>
        <v>2020</v>
      </c>
      <c r="B206" s="713"/>
    </row>
    <row r="207" spans="1:13" hidden="1">
      <c r="A207" s="713">
        <f ca="1">YEAR(NOW())+9</f>
        <v>2021</v>
      </c>
      <c r="B207" s="713"/>
    </row>
    <row r="208" spans="1:13" hidden="1">
      <c r="A208" s="713">
        <f t="shared" ref="A208:A217" ca="1" si="24">+A207+1</f>
        <v>2022</v>
      </c>
      <c r="B208" s="713"/>
    </row>
    <row r="209" spans="1:2" hidden="1">
      <c r="A209" s="713">
        <f t="shared" ca="1" si="24"/>
        <v>2023</v>
      </c>
      <c r="B209" s="713"/>
    </row>
    <row r="210" spans="1:2" hidden="1">
      <c r="A210" s="713">
        <f t="shared" ca="1" si="24"/>
        <v>2024</v>
      </c>
      <c r="B210" s="713"/>
    </row>
    <row r="211" spans="1:2" hidden="1">
      <c r="A211" s="713">
        <f t="shared" ca="1" si="24"/>
        <v>2025</v>
      </c>
      <c r="B211" s="713"/>
    </row>
    <row r="212" spans="1:2" hidden="1">
      <c r="A212" s="713">
        <f t="shared" ca="1" si="24"/>
        <v>2026</v>
      </c>
      <c r="B212" s="713"/>
    </row>
    <row r="213" spans="1:2" hidden="1">
      <c r="A213" s="713">
        <f t="shared" ca="1" si="24"/>
        <v>2027</v>
      </c>
      <c r="B213" s="713"/>
    </row>
    <row r="214" spans="1:2" hidden="1">
      <c r="A214" s="713">
        <f t="shared" ca="1" si="24"/>
        <v>2028</v>
      </c>
      <c r="B214" s="713"/>
    </row>
    <row r="215" spans="1:2" hidden="1">
      <c r="A215" s="713">
        <f t="shared" ca="1" si="24"/>
        <v>2029</v>
      </c>
      <c r="B215" s="713"/>
    </row>
    <row r="216" spans="1:2" hidden="1">
      <c r="A216" s="713">
        <f t="shared" ca="1" si="24"/>
        <v>2030</v>
      </c>
      <c r="B216" s="713"/>
    </row>
    <row r="217" spans="1:2" hidden="1">
      <c r="A217" s="713">
        <f t="shared" ca="1" si="24"/>
        <v>2031</v>
      </c>
      <c r="B217" s="713"/>
    </row>
    <row r="218" spans="1:2">
      <c r="A218" s="713"/>
      <c r="B218" s="713"/>
    </row>
  </sheetData>
  <mergeCells count="1">
    <mergeCell ref="B14:C14"/>
  </mergeCells>
  <phoneticPr fontId="33" type="noConversion"/>
  <dataValidations count="7">
    <dataValidation type="list" errorStyle="warning" allowBlank="1" showInputMessage="1" showErrorMessage="1" errorTitle="Entrada de Datos" error="Debe escoger un valor entre 0 y 4" sqref="E10">
      <formula1>$C$179:$C$191</formula1>
    </dataValidation>
    <dataValidation type="list" errorStyle="warning" allowBlank="1" showInputMessage="1" showErrorMessage="1" errorTitle="Error en la entrada" error="Debe seleccionar el año de la lista" sqref="B10">
      <formula1>$A191:$A217</formula1>
    </dataValidation>
    <dataValidation type="list" allowBlank="1" showInputMessage="1" showErrorMessage="1" sqref="B12">
      <formula1>$A$184:$A$190</formula1>
    </dataValidation>
    <dataValidation type="list" allowBlank="1" showInputMessage="1" showErrorMessage="1" sqref="D22">
      <formula1>$B$190:$B$191</formula1>
    </dataValidation>
    <dataValidation type="list" allowBlank="1" showInputMessage="1" showErrorMessage="1" sqref="I17">
      <formula1>$A$191:$A$217</formula1>
    </dataValidation>
    <dataValidation type="custom" operator="lessThan" allowBlank="1" showInputMessage="1" showErrorMessage="1" errorTitle="AÑO NO VALIDO" error="EL AÑO DEBE SER MENOR AL QUE SE ESCOGIO EN LA CELDA B10....INDIQUE COMO MINIMO EL AÑO ANTERIOR_x000a_" promptTitle="TENGA EN CUENTA QUE" prompt="PRIMERO DEBE ESCOGER UN AÑO EN LA CELDA B10 Y LUEGO EN ESTA CELDA EL AÑO DEBE SER MENOR AL QUE SE ESCOGIO EN LA CELDA B10... COMO MINIMO DEBE SER EL AÑO ANTERIOR." sqref="I21">
      <formula1>$B$194</formula1>
    </dataValidation>
    <dataValidation allowBlank="1" showInputMessage="1" showErrorMessage="1" promptTitle="TENGA EN CUENTA" prompt="ESTA INFORMACION SE DEBE DIGITAR EN LA HOJA INGRESOS PROYECCIONES, EN LA COLUMNA DEL AÑO ANTERIOR AL QUE SELECCIONO EN LA CELDA B10" sqref="M25"/>
  </dataValidations>
  <printOptions horizontalCentered="1" verticalCentered="1" gridLines="1"/>
  <pageMargins left="0.19685039370078741" right="0.19685039370078741" top="0.31496062992125984" bottom="0.35433070866141736" header="0" footer="0"/>
  <pageSetup scale="65" fitToWidth="4" fitToHeight="2" orientation="landscape" horizontalDpi="120" verticalDpi="144" r:id="rId1"/>
  <headerFooter alignWithMargins="0">
    <oddHeader>&amp;C&amp;"Arial,Negrita"&amp;12&amp;F</oddHeader>
    <oddFooter>&amp;L&amp;"Arial,Negrita"&amp;F  &amp;A&amp;R&amp;"Arial,Negrita"Página &amp;P de &amp;N</oddFooter>
  </headerFooter>
  <legacyDrawing r:id="rId2"/>
</worksheet>
</file>

<file path=xl/worksheets/sheet15.xml><?xml version="1.0" encoding="utf-8"?>
<worksheet xmlns="http://schemas.openxmlformats.org/spreadsheetml/2006/main" xmlns:r="http://schemas.openxmlformats.org/officeDocument/2006/relationships">
  <sheetPr codeName="Hoja1"/>
  <dimension ref="A1:Q218"/>
  <sheetViews>
    <sheetView topLeftCell="B8" zoomScale="80" zoomScaleNormal="75" workbookViewId="0">
      <selection activeCell="B10" sqref="B10"/>
    </sheetView>
  </sheetViews>
  <sheetFormatPr baseColWidth="10" defaultColWidth="12" defaultRowHeight="12.75"/>
  <cols>
    <col min="1" max="1" width="18.7109375" style="9" hidden="1" customWidth="1"/>
    <col min="2" max="2" width="52" style="9" customWidth="1"/>
    <col min="3" max="3" width="14.85546875" style="9" customWidth="1"/>
    <col min="4" max="4" width="18" style="9" customWidth="1"/>
    <col min="5" max="5" width="12" style="9" customWidth="1"/>
    <col min="6" max="6" width="13" style="9" customWidth="1"/>
    <col min="7" max="9" width="12" style="9" customWidth="1"/>
    <col min="10" max="10" width="13.5703125" style="9" customWidth="1"/>
    <col min="11" max="11" width="12" style="9" customWidth="1"/>
    <col min="12" max="12" width="16" style="9" customWidth="1"/>
    <col min="13" max="13" width="14.28515625" style="9" customWidth="1"/>
    <col min="14" max="16384" width="12" style="9"/>
  </cols>
  <sheetData>
    <row r="1" spans="1:17" s="375" customFormat="1" ht="12.75" customHeight="1">
      <c r="A1" s="385" t="s">
        <v>780</v>
      </c>
      <c r="B1" s="385"/>
      <c r="C1" s="385"/>
      <c r="D1" s="385"/>
      <c r="E1" s="385"/>
      <c r="O1" s="9"/>
      <c r="P1" s="9"/>
      <c r="Q1" s="9"/>
    </row>
    <row r="2" spans="1:17" s="375" customFormat="1" ht="12.75" customHeight="1">
      <c r="A2" s="385" t="s">
        <v>781</v>
      </c>
      <c r="B2" s="385"/>
      <c r="C2" s="385"/>
      <c r="D2" s="385"/>
      <c r="E2" s="385"/>
      <c r="O2" s="9"/>
      <c r="P2" s="9"/>
      <c r="Q2" s="9"/>
    </row>
    <row r="3" spans="1:17" s="375" customFormat="1" ht="3" customHeight="1">
      <c r="A3" s="386"/>
      <c r="B3" s="386"/>
      <c r="C3" s="386"/>
      <c r="O3" s="9"/>
      <c r="P3" s="9"/>
      <c r="Q3" s="9"/>
    </row>
    <row r="4" spans="1:17" s="375" customFormat="1" ht="3" customHeight="1">
      <c r="A4" s="387"/>
      <c r="B4" s="387"/>
      <c r="C4" s="387"/>
      <c r="D4" s="378"/>
      <c r="E4" s="378"/>
      <c r="O4" s="9"/>
      <c r="P4" s="9"/>
      <c r="Q4" s="9"/>
    </row>
    <row r="5" spans="1:17" s="375" customFormat="1" ht="3" customHeight="1">
      <c r="A5" s="388"/>
      <c r="B5" s="388"/>
      <c r="C5" s="389"/>
      <c r="D5" s="378"/>
      <c r="E5" s="378"/>
      <c r="O5" s="9"/>
      <c r="P5" s="9"/>
      <c r="Q5" s="9"/>
    </row>
    <row r="6" spans="1:17" s="415" customFormat="1" ht="17.100000000000001" hidden="1" customHeight="1">
      <c r="A6" s="415" t="s">
        <v>782</v>
      </c>
      <c r="B6" s="695"/>
      <c r="C6" s="431"/>
      <c r="D6" s="416"/>
      <c r="E6" s="417"/>
      <c r="F6" s="417"/>
      <c r="G6" s="417"/>
      <c r="H6" s="417"/>
      <c r="I6" s="417"/>
      <c r="O6" s="885"/>
      <c r="P6" s="885"/>
      <c r="Q6" s="885"/>
    </row>
    <row r="7" spans="1:17" s="375" customFormat="1" ht="12.75" hidden="1" customHeight="1">
      <c r="A7" s="378"/>
      <c r="B7" s="379"/>
      <c r="C7" s="381"/>
      <c r="D7" s="376"/>
      <c r="E7" s="377"/>
      <c r="F7" s="377"/>
      <c r="G7" s="377"/>
      <c r="H7" s="377"/>
      <c r="I7" s="377"/>
      <c r="O7" s="9"/>
      <c r="P7" s="9"/>
      <c r="Q7" s="9"/>
    </row>
    <row r="8" spans="1:17" s="415" customFormat="1" ht="17.100000000000001" customHeight="1">
      <c r="A8" s="415" t="s">
        <v>783</v>
      </c>
      <c r="B8" s="963" t="s">
        <v>898</v>
      </c>
      <c r="C8" s="420"/>
      <c r="D8" s="416"/>
      <c r="E8" s="417"/>
      <c r="F8" s="417"/>
      <c r="G8" s="417"/>
      <c r="H8" s="417"/>
      <c r="I8" s="417"/>
      <c r="O8" s="885"/>
      <c r="P8" s="885"/>
      <c r="Q8" s="885"/>
    </row>
    <row r="9" spans="1:17" s="375" customFormat="1" ht="12.75" customHeight="1">
      <c r="A9" s="378"/>
      <c r="B9" s="380"/>
      <c r="C9" s="381"/>
      <c r="D9" s="376"/>
      <c r="E9" s="377"/>
      <c r="F9" s="377"/>
      <c r="G9" s="377"/>
      <c r="H9" s="377"/>
      <c r="I9" s="377"/>
      <c r="O9" s="9"/>
      <c r="P9" s="9"/>
      <c r="Q9" s="9"/>
    </row>
    <row r="10" spans="1:17" s="415" customFormat="1" ht="17.100000000000001" customHeight="1">
      <c r="A10" s="415" t="s">
        <v>784</v>
      </c>
      <c r="B10" s="960">
        <v>2005</v>
      </c>
      <c r="C10" s="416"/>
      <c r="D10" s="418" t="s">
        <v>785</v>
      </c>
      <c r="E10" s="961">
        <v>0</v>
      </c>
      <c r="F10" s="417"/>
      <c r="G10" s="417"/>
      <c r="H10" s="417"/>
      <c r="I10" s="417"/>
      <c r="O10" s="885"/>
      <c r="P10" s="885"/>
      <c r="Q10" s="885"/>
    </row>
    <row r="11" spans="1:17" s="375" customFormat="1" ht="12.75" customHeight="1">
      <c r="B11" s="380"/>
      <c r="C11" s="376"/>
      <c r="D11" s="376"/>
      <c r="E11" s="377"/>
      <c r="F11" s="377"/>
      <c r="G11" s="377"/>
      <c r="H11" s="377"/>
      <c r="I11" s="377"/>
      <c r="O11" s="9"/>
      <c r="P11" s="9"/>
      <c r="Q11" s="9"/>
    </row>
    <row r="12" spans="1:17" s="415" customFormat="1" ht="17.100000000000001" customHeight="1">
      <c r="A12" s="415" t="s">
        <v>786</v>
      </c>
      <c r="B12" s="700">
        <v>6</v>
      </c>
      <c r="C12" s="417"/>
      <c r="D12" s="416"/>
      <c r="E12" s="417"/>
      <c r="F12" s="417"/>
      <c r="G12" s="417"/>
      <c r="H12" s="417"/>
      <c r="I12" s="417"/>
      <c r="O12" s="885"/>
      <c r="P12" s="885"/>
      <c r="Q12" s="885"/>
    </row>
    <row r="13" spans="1:17" s="375" customFormat="1" ht="12.75" customHeight="1">
      <c r="A13" s="378"/>
      <c r="B13" s="383"/>
      <c r="C13" s="377"/>
      <c r="D13" s="376"/>
      <c r="E13" s="377"/>
      <c r="F13" s="377"/>
      <c r="G13" s="377"/>
      <c r="H13" s="377"/>
      <c r="I13" s="377"/>
    </row>
    <row r="14" spans="1:17" s="415" customFormat="1" ht="17.100000000000001" hidden="1" customHeight="1">
      <c r="A14" s="415" t="s">
        <v>787</v>
      </c>
      <c r="B14" s="1326"/>
      <c r="C14" s="1327"/>
      <c r="D14" s="416"/>
      <c r="E14" s="417"/>
      <c r="F14" s="417"/>
      <c r="G14" s="417"/>
      <c r="H14" s="417"/>
      <c r="I14" s="417"/>
    </row>
    <row r="15" spans="1:17" s="375" customFormat="1" ht="3.75" customHeight="1">
      <c r="B15" s="377"/>
      <c r="C15" s="377"/>
      <c r="D15" s="377"/>
      <c r="E15" s="377"/>
      <c r="F15" s="377"/>
      <c r="G15" s="377"/>
      <c r="H15" s="377"/>
      <c r="I15" s="377"/>
    </row>
    <row r="16" spans="1:17" s="415" customFormat="1" ht="17.100000000000001" customHeight="1">
      <c r="A16" s="415" t="s">
        <v>788</v>
      </c>
      <c r="B16" s="417"/>
      <c r="C16" s="417"/>
      <c r="D16" s="417"/>
      <c r="E16" s="417"/>
      <c r="F16" s="417"/>
      <c r="G16" s="417"/>
      <c r="H16" s="417"/>
      <c r="I16" s="417"/>
    </row>
    <row r="17" spans="1:13" s="415" customFormat="1" ht="17.100000000000001" customHeight="1">
      <c r="A17" s="415" t="s">
        <v>789</v>
      </c>
      <c r="B17" s="961" t="s">
        <v>1089</v>
      </c>
      <c r="C17" s="417"/>
      <c r="D17" s="417"/>
      <c r="E17" s="417"/>
      <c r="F17" s="417"/>
      <c r="G17" s="417"/>
      <c r="H17" s="417"/>
      <c r="I17" s="976"/>
    </row>
    <row r="18" spans="1:13" s="415" customFormat="1" ht="17.100000000000001" hidden="1" customHeight="1">
      <c r="A18" s="415" t="s">
        <v>790</v>
      </c>
      <c r="B18" s="421"/>
      <c r="C18" s="417"/>
      <c r="D18" s="417"/>
      <c r="E18" s="417"/>
      <c r="F18" s="417"/>
      <c r="G18" s="417"/>
      <c r="H18" s="417"/>
      <c r="I18" s="417"/>
    </row>
    <row r="19" spans="1:13" s="415" customFormat="1" ht="17.100000000000001" hidden="1" customHeight="1">
      <c r="A19" s="415" t="s">
        <v>791</v>
      </c>
      <c r="B19" s="421"/>
      <c r="C19" s="417"/>
      <c r="D19" s="417"/>
      <c r="E19" s="417"/>
      <c r="F19" s="417"/>
      <c r="G19" s="417"/>
      <c r="H19" s="417"/>
      <c r="I19" s="417"/>
    </row>
    <row r="20" spans="1:13" s="375" customFormat="1" ht="3.75" customHeight="1">
      <c r="B20" s="377"/>
      <c r="C20" s="377"/>
      <c r="D20" s="377"/>
      <c r="E20" s="377"/>
      <c r="F20" s="377"/>
      <c r="G20" s="377"/>
      <c r="H20" s="377"/>
      <c r="I20" s="377"/>
    </row>
    <row r="21" spans="1:13" s="415" customFormat="1" ht="17.100000000000001" customHeight="1" thickBot="1">
      <c r="A21" s="688" t="s">
        <v>792</v>
      </c>
      <c r="D21" s="838" t="s">
        <v>1089</v>
      </c>
      <c r="E21" s="417"/>
      <c r="F21" s="419"/>
      <c r="G21" s="419"/>
      <c r="H21" s="419" t="s">
        <v>723</v>
      </c>
      <c r="I21" s="901">
        <v>37257</v>
      </c>
    </row>
    <row r="22" spans="1:13" s="375" customFormat="1" ht="12.75" customHeight="1" thickBot="1">
      <c r="A22" s="837" t="s">
        <v>794</v>
      </c>
      <c r="B22" s="836"/>
      <c r="C22" s="377"/>
      <c r="D22" s="962" t="s">
        <v>1053</v>
      </c>
      <c r="E22" s="377"/>
      <c r="F22" s="384"/>
      <c r="G22" s="384"/>
      <c r="H22" s="384" t="s">
        <v>724</v>
      </c>
      <c r="I22" s="884">
        <v>42735</v>
      </c>
    </row>
    <row r="23" spans="1:13" s="375" customFormat="1" ht="3.75" customHeight="1">
      <c r="A23" s="391"/>
      <c r="F23" s="393"/>
      <c r="G23" s="393"/>
    </row>
    <row r="24" spans="1:13" s="375" customFormat="1" ht="3.75" customHeight="1" thickBot="1">
      <c r="G24" s="378"/>
    </row>
    <row r="25" spans="1:13" s="45" customFormat="1" ht="66" customHeight="1" thickBot="1">
      <c r="A25" s="353" t="s">
        <v>796</v>
      </c>
      <c r="B25" s="353" t="s">
        <v>797</v>
      </c>
      <c r="C25" s="353" t="str">
        <f>"Escenario Financiero Año"&amp;" "&amp;(Ingresos!$B$10)</f>
        <v>Escenario Financiero Año 2005</v>
      </c>
      <c r="D25" s="353" t="s">
        <v>798</v>
      </c>
      <c r="E25" s="353" t="s">
        <v>799</v>
      </c>
      <c r="F25" s="353" t="s">
        <v>800</v>
      </c>
      <c r="G25" s="353" t="s">
        <v>801</v>
      </c>
      <c r="H25" s="353" t="s">
        <v>802</v>
      </c>
      <c r="I25" s="353" t="s">
        <v>803</v>
      </c>
      <c r="J25" s="353" t="s">
        <v>804</v>
      </c>
      <c r="K25" s="353" t="s">
        <v>805</v>
      </c>
      <c r="L25" s="77" t="s">
        <v>806</v>
      </c>
      <c r="M25" s="956" t="s">
        <v>807</v>
      </c>
    </row>
    <row r="26" spans="1:13" ht="7.5" hidden="1" customHeight="1">
      <c r="A26" s="433"/>
      <c r="B26" s="282"/>
      <c r="C26" s="282"/>
      <c r="D26" s="282"/>
      <c r="E26" s="282"/>
      <c r="F26" s="282"/>
      <c r="G26" s="282"/>
      <c r="H26" s="282"/>
      <c r="I26" s="282"/>
      <c r="J26" s="282"/>
      <c r="K26" s="282"/>
      <c r="L26" s="423"/>
      <c r="M26" s="282"/>
    </row>
    <row r="27" spans="1:13">
      <c r="A27" s="434" t="s">
        <v>808</v>
      </c>
      <c r="B27" s="1106" t="s">
        <v>809</v>
      </c>
      <c r="C27" s="432" t="e">
        <f>+C28+C87</f>
        <v>#N/A</v>
      </c>
      <c r="D27" s="432">
        <f>+D28+D87</f>
        <v>0</v>
      </c>
      <c r="E27" s="432" t="e">
        <f>+E28+E87</f>
        <v>#N/A</v>
      </c>
      <c r="F27" s="432" t="e">
        <f>+E27-D27</f>
        <v>#N/A</v>
      </c>
      <c r="G27" s="432">
        <f>+G28+G87</f>
        <v>0</v>
      </c>
      <c r="H27" s="432">
        <f>+H28+H87</f>
        <v>0</v>
      </c>
      <c r="I27" s="424" t="e">
        <f t="shared" ref="I27:I57" si="0">+H27/E27</f>
        <v>#N/A</v>
      </c>
      <c r="J27" s="432">
        <f>+J28+J87</f>
        <v>3197064</v>
      </c>
      <c r="K27" s="424">
        <f t="shared" ref="K27:K58" si="1">+(H27/J27)-1</f>
        <v>-1</v>
      </c>
      <c r="L27" s="424" t="e">
        <f>+H27/C27</f>
        <v>#N/A</v>
      </c>
      <c r="M27" s="432" t="e">
        <f>+M28+M87</f>
        <v>#N/A</v>
      </c>
    </row>
    <row r="28" spans="1:13">
      <c r="A28" s="434" t="s">
        <v>810</v>
      </c>
      <c r="B28" s="1106" t="s">
        <v>811</v>
      </c>
      <c r="C28" s="432">
        <f>+C29+C50</f>
        <v>6672041</v>
      </c>
      <c r="D28" s="432">
        <f>+D29+D50</f>
        <v>0</v>
      </c>
      <c r="E28" s="432">
        <f>+E29+E50</f>
        <v>6672041</v>
      </c>
      <c r="F28" s="432">
        <f>+E28-D28</f>
        <v>6672041</v>
      </c>
      <c r="G28" s="432">
        <f>+G29+G50</f>
        <v>0</v>
      </c>
      <c r="H28" s="432">
        <f>+H29+H50</f>
        <v>0</v>
      </c>
      <c r="I28" s="424">
        <f t="shared" si="0"/>
        <v>0</v>
      </c>
      <c r="J28" s="432">
        <f>+J29+J50</f>
        <v>3181565</v>
      </c>
      <c r="K28" s="424">
        <f t="shared" si="1"/>
        <v>-1</v>
      </c>
      <c r="L28" s="424">
        <f t="shared" ref="L28:L57" si="2">+H28/C28</f>
        <v>0</v>
      </c>
      <c r="M28" s="432">
        <f>+M29+M50</f>
        <v>6672041</v>
      </c>
    </row>
    <row r="29" spans="1:13">
      <c r="A29" s="434" t="s">
        <v>812</v>
      </c>
      <c r="B29" s="1106" t="s">
        <v>813</v>
      </c>
      <c r="C29" s="432">
        <f>+C30+C32+C33+C34+C35+C36+C37+C38+C39+C40+C42+C48+C49+C31+C41</f>
        <v>169089</v>
      </c>
      <c r="D29" s="432">
        <f>+D30+D32+D33+D34+D35+D36+D37+D38+D39+D40+D42+D48+D49+D31+D41</f>
        <v>0</v>
      </c>
      <c r="E29" s="432">
        <f>+E30+E32+E33+E34+E35+E36+E37+E38+E39+E40+E42+E48+E49+E31+E41</f>
        <v>169089</v>
      </c>
      <c r="F29" s="432">
        <f>+E29-D29</f>
        <v>169089</v>
      </c>
      <c r="G29" s="432">
        <f>+G30+G32+G33+G34+G35+G36+G37+G38+G39+G40+G42+G48+G49+G31+G41</f>
        <v>0</v>
      </c>
      <c r="H29" s="432">
        <f>+H30+H32+H33+H34+H35+H36+H37+H38+H39+H40+H42+H48+H49+H31+H41</f>
        <v>0</v>
      </c>
      <c r="I29" s="424">
        <f t="shared" si="0"/>
        <v>0</v>
      </c>
      <c r="J29" s="432">
        <f>+J30+J32+J33+J34+J35+J36+J37+J38+J39+J40+J42+J48+J49+J31+J41</f>
        <v>64629</v>
      </c>
      <c r="K29" s="424">
        <f t="shared" si="1"/>
        <v>-1</v>
      </c>
      <c r="L29" s="424">
        <f t="shared" si="2"/>
        <v>0</v>
      </c>
      <c r="M29" s="432">
        <f>+M30+M32+M33+M34+M35+M36+M37+M38+M39+M40+M42+M48+M49+M31+M41</f>
        <v>169089</v>
      </c>
    </row>
    <row r="30" spans="1:13" ht="22.5">
      <c r="A30" s="435" t="s">
        <v>814</v>
      </c>
      <c r="B30" s="1107" t="s">
        <v>815</v>
      </c>
      <c r="C30" s="887">
        <f>VLOOKUP(A30,'Ingresos Proyecciones'!$A$11:$P$121,LOOKUP($C$25,'Ingresos Proyecciones'!$C$9:$P$9,'Ingresos Proyecciones'!$C$178:$P$178),FALSE)</f>
        <v>80000</v>
      </c>
      <c r="D30" s="6">
        <v>0</v>
      </c>
      <c r="E30" s="6">
        <f>+C30</f>
        <v>80000</v>
      </c>
      <c r="F30" s="425">
        <f>+E30-D30</f>
        <v>80000</v>
      </c>
      <c r="G30" s="6">
        <v>0</v>
      </c>
      <c r="H30" s="6"/>
      <c r="I30" s="426">
        <f t="shared" si="0"/>
        <v>0</v>
      </c>
      <c r="J30" s="6">
        <v>24206</v>
      </c>
      <c r="K30" s="426">
        <f t="shared" si="1"/>
        <v>-1</v>
      </c>
      <c r="L30" s="426">
        <f t="shared" si="2"/>
        <v>0</v>
      </c>
      <c r="M30" s="6">
        <f>VLOOKUP(A30,'Ingresos Proyecciones'!$A$11:$P$121,LOOKUP($O$190,'Ingresos Proyecciones'!$C$9:$P$9,'Ingresos Proyecciones'!$C$178:$P$178),FALSE)</f>
        <v>80000</v>
      </c>
    </row>
    <row r="31" spans="1:13" hidden="1">
      <c r="A31" s="435" t="s">
        <v>816</v>
      </c>
      <c r="B31" s="1107" t="s">
        <v>817</v>
      </c>
      <c r="C31" s="887">
        <f>VLOOKUP(A31,'Ingresos Proyecciones'!$A$11:$P$121,LOOKUP($C$25,'Ingresos Proyecciones'!$C$9:$P$9,'Ingresos Proyecciones'!$C$178:$P$178),FALSE)</f>
        <v>0</v>
      </c>
      <c r="D31" s="6"/>
      <c r="E31" s="6">
        <f t="shared" ref="E31:E41" si="3">+C31</f>
        <v>0</v>
      </c>
      <c r="F31" s="425">
        <f>+E31-D31</f>
        <v>0</v>
      </c>
      <c r="G31" s="6"/>
      <c r="H31" s="6"/>
      <c r="I31" s="426" t="e">
        <f t="shared" si="0"/>
        <v>#DIV/0!</v>
      </c>
      <c r="J31" s="6"/>
      <c r="K31" s="426" t="e">
        <f t="shared" si="1"/>
        <v>#DIV/0!</v>
      </c>
      <c r="L31" s="426" t="e">
        <f t="shared" si="2"/>
        <v>#DIV/0!</v>
      </c>
      <c r="M31" s="6">
        <f>VLOOKUP(A31,'Ingresos Proyecciones'!$A$11:$P$121,LOOKUP($O$190,'Ingresos Proyecciones'!$C$9:$P$9,'Ingresos Proyecciones'!$C$178:$P$178),FALSE)</f>
        <v>0</v>
      </c>
    </row>
    <row r="32" spans="1:13">
      <c r="A32" s="434" t="s">
        <v>818</v>
      </c>
      <c r="B32" s="1107" t="s">
        <v>819</v>
      </c>
      <c r="C32" s="887">
        <f>VLOOKUP(A32,'Ingresos Proyecciones'!$A$11:$P$121,LOOKUP($C$25,'Ingresos Proyecciones'!$C$9:$P$9,'Ingresos Proyecciones'!$C$178:$P$178),FALSE)</f>
        <v>2000</v>
      </c>
      <c r="D32" s="6">
        <v>0</v>
      </c>
      <c r="E32" s="6">
        <f t="shared" si="3"/>
        <v>2000</v>
      </c>
      <c r="F32" s="425">
        <f t="shared" ref="F32:F41" si="4">+E32-D32</f>
        <v>2000</v>
      </c>
      <c r="G32" s="6"/>
      <c r="H32" s="6"/>
      <c r="I32" s="426">
        <f t="shared" si="0"/>
        <v>0</v>
      </c>
      <c r="J32" s="6">
        <v>37</v>
      </c>
      <c r="K32" s="426">
        <f t="shared" si="1"/>
        <v>-1</v>
      </c>
      <c r="L32" s="426">
        <f t="shared" si="2"/>
        <v>0</v>
      </c>
      <c r="M32" s="6">
        <f>VLOOKUP(A32,'Ingresos Proyecciones'!$A$11:$P$121,LOOKUP($O$190,'Ingresos Proyecciones'!$C$9:$P$9,'Ingresos Proyecciones'!$C$178:$P$178),FALSE)</f>
        <v>2000</v>
      </c>
    </row>
    <row r="33" spans="1:13">
      <c r="A33" s="434" t="s">
        <v>820</v>
      </c>
      <c r="B33" s="1107" t="s">
        <v>821</v>
      </c>
      <c r="C33" s="887">
        <f>VLOOKUP(A33,'Ingresos Proyecciones'!$A$11:$P$121,LOOKUP($C$25,'Ingresos Proyecciones'!$C$9:$P$9,'Ingresos Proyecciones'!$C$178:$P$178),FALSE)</f>
        <v>45000</v>
      </c>
      <c r="D33" s="6">
        <v>0</v>
      </c>
      <c r="E33" s="6">
        <f t="shared" si="3"/>
        <v>45000</v>
      </c>
      <c r="F33" s="425">
        <f t="shared" si="4"/>
        <v>45000</v>
      </c>
      <c r="G33" s="6"/>
      <c r="H33" s="6"/>
      <c r="I33" s="426">
        <f t="shared" si="0"/>
        <v>0</v>
      </c>
      <c r="J33" s="6">
        <v>20693</v>
      </c>
      <c r="K33" s="426">
        <f t="shared" si="1"/>
        <v>-1</v>
      </c>
      <c r="L33" s="426">
        <f t="shared" si="2"/>
        <v>0</v>
      </c>
      <c r="M33" s="6">
        <f>VLOOKUP(A33,'Ingresos Proyecciones'!$A$11:$P$121,LOOKUP($O$190,'Ingresos Proyecciones'!$C$9:$P$9,'Ingresos Proyecciones'!$C$178:$P$178),FALSE)</f>
        <v>45000</v>
      </c>
    </row>
    <row r="34" spans="1:13" hidden="1">
      <c r="A34" s="434" t="s">
        <v>822</v>
      </c>
      <c r="B34" s="1107" t="s">
        <v>823</v>
      </c>
      <c r="C34" s="887">
        <f>VLOOKUP(A34,'Ingresos Proyecciones'!$A$11:$P$121,LOOKUP($C$25,'Ingresos Proyecciones'!$C$9:$P$9,'Ingresos Proyecciones'!$C$178:$P$178),FALSE)</f>
        <v>0</v>
      </c>
      <c r="D34" s="6"/>
      <c r="E34" s="6">
        <f t="shared" si="3"/>
        <v>0</v>
      </c>
      <c r="F34" s="425">
        <f t="shared" si="4"/>
        <v>0</v>
      </c>
      <c r="G34" s="6"/>
      <c r="H34" s="6"/>
      <c r="I34" s="426" t="e">
        <f t="shared" si="0"/>
        <v>#DIV/0!</v>
      </c>
      <c r="J34" s="6"/>
      <c r="K34" s="426" t="e">
        <f t="shared" si="1"/>
        <v>#DIV/0!</v>
      </c>
      <c r="L34" s="426" t="e">
        <f t="shared" si="2"/>
        <v>#DIV/0!</v>
      </c>
      <c r="M34" s="6">
        <f>VLOOKUP(A34,'Ingresos Proyecciones'!$A$11:$P$121,LOOKUP($O$190,'Ingresos Proyecciones'!$C$9:$P$9,'Ingresos Proyecciones'!$C$178:$P$178),FALSE)</f>
        <v>0</v>
      </c>
    </row>
    <row r="35" spans="1:13">
      <c r="A35" s="434" t="s">
        <v>824</v>
      </c>
      <c r="B35" s="1107" t="s">
        <v>825</v>
      </c>
      <c r="C35" s="887">
        <f>VLOOKUP(A35,'Ingresos Proyecciones'!$A$11:$P$121,LOOKUP($C$25,'Ingresos Proyecciones'!$C$9:$P$9,'Ingresos Proyecciones'!$C$178:$P$178),FALSE)</f>
        <v>200</v>
      </c>
      <c r="D35" s="6">
        <v>0</v>
      </c>
      <c r="E35" s="6">
        <f t="shared" si="3"/>
        <v>200</v>
      </c>
      <c r="F35" s="425">
        <f t="shared" si="4"/>
        <v>200</v>
      </c>
      <c r="G35" s="6"/>
      <c r="H35" s="6"/>
      <c r="I35" s="426">
        <f t="shared" si="0"/>
        <v>0</v>
      </c>
      <c r="J35" s="6">
        <v>175</v>
      </c>
      <c r="K35" s="426">
        <f t="shared" si="1"/>
        <v>-1</v>
      </c>
      <c r="L35" s="426">
        <f t="shared" si="2"/>
        <v>0</v>
      </c>
      <c r="M35" s="6">
        <f>VLOOKUP(A35,'Ingresos Proyecciones'!$A$11:$P$121,LOOKUP($O$190,'Ingresos Proyecciones'!$C$9:$P$9,'Ingresos Proyecciones'!$C$178:$P$178),FALSE)</f>
        <v>200</v>
      </c>
    </row>
    <row r="36" spans="1:13">
      <c r="A36" s="434" t="s">
        <v>826</v>
      </c>
      <c r="B36" s="1107" t="s">
        <v>827</v>
      </c>
      <c r="C36" s="887">
        <f>VLOOKUP(A36,'Ingresos Proyecciones'!$A$11:$P$121,LOOKUP($C$25,'Ingresos Proyecciones'!$C$9:$P$9,'Ingresos Proyecciones'!$C$178:$P$178),FALSE)</f>
        <v>3500</v>
      </c>
      <c r="D36" s="6">
        <v>0</v>
      </c>
      <c r="E36" s="6">
        <f t="shared" si="3"/>
        <v>3500</v>
      </c>
      <c r="F36" s="425">
        <f t="shared" si="4"/>
        <v>3500</v>
      </c>
      <c r="G36" s="6"/>
      <c r="H36" s="6"/>
      <c r="I36" s="426">
        <f t="shared" si="0"/>
        <v>0</v>
      </c>
      <c r="J36" s="6">
        <v>2621</v>
      </c>
      <c r="K36" s="426">
        <f t="shared" si="1"/>
        <v>-1</v>
      </c>
      <c r="L36" s="426">
        <f t="shared" si="2"/>
        <v>0</v>
      </c>
      <c r="M36" s="6">
        <f>VLOOKUP(A36,'Ingresos Proyecciones'!$A$11:$P$121,LOOKUP($O$190,'Ingresos Proyecciones'!$C$9:$P$9,'Ingresos Proyecciones'!$C$178:$P$178),FALSE)</f>
        <v>3500</v>
      </c>
    </row>
    <row r="37" spans="1:13">
      <c r="A37" s="434" t="s">
        <v>828</v>
      </c>
      <c r="B37" s="1107" t="s">
        <v>906</v>
      </c>
      <c r="C37" s="887">
        <f>VLOOKUP(A37,'Ingresos Proyecciones'!$A$11:$P$121,LOOKUP($C$25,'Ingresos Proyecciones'!$C$9:$P$9,'Ingresos Proyecciones'!$C$178:$P$178),FALSE)</f>
        <v>6000</v>
      </c>
      <c r="D37" s="6">
        <v>0</v>
      </c>
      <c r="E37" s="6">
        <f t="shared" si="3"/>
        <v>6000</v>
      </c>
      <c r="F37" s="425">
        <f t="shared" si="4"/>
        <v>6000</v>
      </c>
      <c r="G37" s="6"/>
      <c r="H37" s="6"/>
      <c r="I37" s="426">
        <f t="shared" si="0"/>
        <v>0</v>
      </c>
      <c r="J37" s="6">
        <v>2673</v>
      </c>
      <c r="K37" s="426">
        <f t="shared" si="1"/>
        <v>-1</v>
      </c>
      <c r="L37" s="426">
        <f t="shared" si="2"/>
        <v>0</v>
      </c>
      <c r="M37" s="6">
        <f>VLOOKUP(A37,'Ingresos Proyecciones'!$A$11:$P$121,LOOKUP($O$190,'Ingresos Proyecciones'!$C$9:$P$9,'Ingresos Proyecciones'!$C$178:$P$178),FALSE)</f>
        <v>6000</v>
      </c>
    </row>
    <row r="38" spans="1:13">
      <c r="A38" s="434" t="s">
        <v>829</v>
      </c>
      <c r="B38" s="1107" t="s">
        <v>830</v>
      </c>
      <c r="C38" s="887">
        <f>VLOOKUP(A38,'Ingresos Proyecciones'!$A$11:$P$121,LOOKUP($C$25,'Ingresos Proyecciones'!$C$9:$P$9,'Ingresos Proyecciones'!$C$178:$P$178),FALSE)</f>
        <v>700</v>
      </c>
      <c r="D38" s="6">
        <v>0</v>
      </c>
      <c r="E38" s="6">
        <f t="shared" si="3"/>
        <v>700</v>
      </c>
      <c r="F38" s="425">
        <f>+E38-D38</f>
        <v>700</v>
      </c>
      <c r="G38" s="6"/>
      <c r="H38" s="6"/>
      <c r="I38" s="426">
        <f t="shared" si="0"/>
        <v>0</v>
      </c>
      <c r="J38" s="6">
        <v>0</v>
      </c>
      <c r="K38" s="426">
        <v>0</v>
      </c>
      <c r="L38" s="426">
        <f t="shared" si="2"/>
        <v>0</v>
      </c>
      <c r="M38" s="6">
        <f>VLOOKUP(A38,'Ingresos Proyecciones'!$A$11:$P$121,LOOKUP($O$190,'Ingresos Proyecciones'!$C$9:$P$9,'Ingresos Proyecciones'!$C$178:$P$178),FALSE)</f>
        <v>700</v>
      </c>
    </row>
    <row r="39" spans="1:13">
      <c r="A39" s="434" t="s">
        <v>831</v>
      </c>
      <c r="B39" s="1107" t="s">
        <v>908</v>
      </c>
      <c r="C39" s="887">
        <f>VLOOKUP(A39,'Ingresos Proyecciones'!$A$11:$P$121,LOOKUP($C$25,'Ingresos Proyecciones'!$C$9:$P$9,'Ingresos Proyecciones'!$C$178:$P$178),FALSE)</f>
        <v>2000</v>
      </c>
      <c r="D39" s="6">
        <v>0</v>
      </c>
      <c r="E39" s="6">
        <f t="shared" si="3"/>
        <v>2000</v>
      </c>
      <c r="F39" s="425">
        <f t="shared" si="4"/>
        <v>2000</v>
      </c>
      <c r="G39" s="6"/>
      <c r="H39" s="6"/>
      <c r="I39" s="426">
        <f t="shared" si="0"/>
        <v>0</v>
      </c>
      <c r="J39" s="6">
        <v>285</v>
      </c>
      <c r="K39" s="426">
        <f t="shared" si="1"/>
        <v>-1</v>
      </c>
      <c r="L39" s="426">
        <f t="shared" si="2"/>
        <v>0</v>
      </c>
      <c r="M39" s="6">
        <f>VLOOKUP(A39,'Ingresos Proyecciones'!$A$11:$P$121,LOOKUP($O$190,'Ingresos Proyecciones'!$C$9:$P$9,'Ingresos Proyecciones'!$C$178:$P$178),FALSE)</f>
        <v>2000</v>
      </c>
    </row>
    <row r="40" spans="1:13">
      <c r="A40" s="434" t="s">
        <v>832</v>
      </c>
      <c r="B40" s="1107" t="s">
        <v>907</v>
      </c>
      <c r="C40" s="887">
        <f>VLOOKUP(A40,'Ingresos Proyecciones'!$A$11:$P$121,LOOKUP($C$25,'Ingresos Proyecciones'!$C$9:$P$9,'Ingresos Proyecciones'!$C$178:$P$178),FALSE)</f>
        <v>1000</v>
      </c>
      <c r="D40" s="6">
        <v>0</v>
      </c>
      <c r="E40" s="6">
        <f t="shared" si="3"/>
        <v>1000</v>
      </c>
      <c r="F40" s="425">
        <f t="shared" si="4"/>
        <v>1000</v>
      </c>
      <c r="G40" s="6"/>
      <c r="H40" s="6"/>
      <c r="I40" s="426">
        <f t="shared" si="0"/>
        <v>0</v>
      </c>
      <c r="J40" s="6">
        <v>235</v>
      </c>
      <c r="K40" s="426">
        <f t="shared" si="1"/>
        <v>-1</v>
      </c>
      <c r="L40" s="426">
        <f t="shared" si="2"/>
        <v>0</v>
      </c>
      <c r="M40" s="6">
        <f>VLOOKUP(A40,'Ingresos Proyecciones'!$A$11:$P$121,LOOKUP($O$190,'Ingresos Proyecciones'!$C$9:$P$9,'Ingresos Proyecciones'!$C$178:$P$178),FALSE)</f>
        <v>1000</v>
      </c>
    </row>
    <row r="41" spans="1:13" hidden="1">
      <c r="A41" s="434" t="s">
        <v>833</v>
      </c>
      <c r="B41" s="1107" t="s">
        <v>834</v>
      </c>
      <c r="C41" s="887">
        <f>VLOOKUP(A41,'Ingresos Proyecciones'!$A$11:$P$121,LOOKUP($C$25,'Ingresos Proyecciones'!$C$9:$P$9,'Ingresos Proyecciones'!$C$178:$P$178),FALSE)</f>
        <v>0</v>
      </c>
      <c r="D41" s="6"/>
      <c r="E41" s="6">
        <f t="shared" si="3"/>
        <v>0</v>
      </c>
      <c r="F41" s="425">
        <f t="shared" si="4"/>
        <v>0</v>
      </c>
      <c r="G41" s="6"/>
      <c r="H41" s="6"/>
      <c r="I41" s="426" t="e">
        <f t="shared" si="0"/>
        <v>#DIV/0!</v>
      </c>
      <c r="J41" s="6"/>
      <c r="K41" s="426" t="e">
        <f t="shared" si="1"/>
        <v>#DIV/0!</v>
      </c>
      <c r="L41" s="426" t="e">
        <f t="shared" si="2"/>
        <v>#DIV/0!</v>
      </c>
      <c r="M41" s="6">
        <f>VLOOKUP(A41,'Ingresos Proyecciones'!$A$11:$P$121,LOOKUP($O$190,'Ingresos Proyecciones'!$C$9:$P$9,'Ingresos Proyecciones'!$C$178:$P$178),FALSE)</f>
        <v>0</v>
      </c>
    </row>
    <row r="42" spans="1:13">
      <c r="A42" s="434" t="s">
        <v>835</v>
      </c>
      <c r="B42" s="1107" t="s">
        <v>836</v>
      </c>
      <c r="C42" s="888">
        <f>SUM(C43:C47)</f>
        <v>28689</v>
      </c>
      <c r="D42" s="32">
        <f>SUM(D43:D47)</f>
        <v>0</v>
      </c>
      <c r="E42" s="32">
        <f>SUM(E43:E47)</f>
        <v>28689</v>
      </c>
      <c r="F42" s="432">
        <f>+E42-D42</f>
        <v>28689</v>
      </c>
      <c r="G42" s="32">
        <f>SUM(G43:G47)</f>
        <v>0</v>
      </c>
      <c r="H42" s="32">
        <f>SUM(H43:H47)</f>
        <v>0</v>
      </c>
      <c r="I42" s="424">
        <f t="shared" si="0"/>
        <v>0</v>
      </c>
      <c r="J42" s="32">
        <f>SUM(J43:J47)</f>
        <v>13704</v>
      </c>
      <c r="K42" s="424">
        <f t="shared" si="1"/>
        <v>-1</v>
      </c>
      <c r="L42" s="424">
        <f t="shared" si="2"/>
        <v>0</v>
      </c>
      <c r="M42" s="32">
        <f>SUM(M43:M47)</f>
        <v>28689</v>
      </c>
    </row>
    <row r="43" spans="1:13">
      <c r="A43" s="434" t="s">
        <v>837</v>
      </c>
      <c r="B43" s="1107" t="str">
        <f>+'Ingresos Proyecciones'!B28</f>
        <v xml:space="preserve">   Estampilla Pro-Cultura</v>
      </c>
      <c r="C43" s="887">
        <f>VLOOKUP(A43,'Ingresos Proyecciones'!$A$11:$P$121,LOOKUP($C$25,'Ingresos Proyecciones'!$C$9:$P$9,'Ingresos Proyecciones'!$C$178:$P$178),FALSE)</f>
        <v>9731</v>
      </c>
      <c r="D43" s="6">
        <v>0</v>
      </c>
      <c r="E43" s="6">
        <f t="shared" ref="E43:E49" si="5">+C43</f>
        <v>9731</v>
      </c>
      <c r="F43" s="425">
        <f t="shared" ref="F43:F49" si="6">+E43-D43</f>
        <v>9731</v>
      </c>
      <c r="G43" s="6"/>
      <c r="H43" s="6"/>
      <c r="I43" s="426">
        <f t="shared" si="0"/>
        <v>0</v>
      </c>
      <c r="J43" s="6">
        <v>4568</v>
      </c>
      <c r="K43" s="426">
        <f t="shared" si="1"/>
        <v>-1</v>
      </c>
      <c r="L43" s="426">
        <f t="shared" si="2"/>
        <v>0</v>
      </c>
      <c r="M43" s="6">
        <f>VLOOKUP(A43,'Ingresos Proyecciones'!$A$11:$P$121,LOOKUP($O$190,'Ingresos Proyecciones'!$C$9:$P$9,'Ingresos Proyecciones'!$C$178:$P$178),FALSE)</f>
        <v>9731</v>
      </c>
    </row>
    <row r="44" spans="1:13">
      <c r="A44" s="434" t="s">
        <v>838</v>
      </c>
      <c r="B44" s="1107" t="str">
        <f>+'Ingresos Proyecciones'!B29</f>
        <v xml:space="preserve">   Estampilla Pro-Deporte</v>
      </c>
      <c r="C44" s="887">
        <f>VLOOKUP(A44,'Ingresos Proyecciones'!$A$11:$P$121,LOOKUP($C$25,'Ingresos Proyecciones'!$C$9:$P$9,'Ingresos Proyecciones'!$C$178:$P$178),FALSE)</f>
        <v>9490</v>
      </c>
      <c r="D44" s="6">
        <v>0</v>
      </c>
      <c r="E44" s="6">
        <f t="shared" si="5"/>
        <v>9490</v>
      </c>
      <c r="F44" s="425">
        <f t="shared" si="6"/>
        <v>9490</v>
      </c>
      <c r="G44" s="6"/>
      <c r="H44" s="6"/>
      <c r="I44" s="426">
        <f t="shared" si="0"/>
        <v>0</v>
      </c>
      <c r="J44" s="6">
        <v>4631</v>
      </c>
      <c r="K44" s="426">
        <f t="shared" si="1"/>
        <v>-1</v>
      </c>
      <c r="L44" s="426">
        <f t="shared" si="2"/>
        <v>0</v>
      </c>
      <c r="M44" s="6">
        <f>VLOOKUP(A44,'Ingresos Proyecciones'!$A$11:$P$121,LOOKUP($O$190,'Ingresos Proyecciones'!$C$9:$P$9,'Ingresos Proyecciones'!$C$178:$P$178),FALSE)</f>
        <v>9490</v>
      </c>
    </row>
    <row r="45" spans="1:13">
      <c r="A45" s="434" t="s">
        <v>839</v>
      </c>
      <c r="B45" s="1107" t="str">
        <f>+'Ingresos Proyecciones'!B30</f>
        <v xml:space="preserve">   Estampilla Pro-Electrificacion Rural</v>
      </c>
      <c r="C45" s="887">
        <f>VLOOKUP(A45,'Ingresos Proyecciones'!$A$11:$P$121,LOOKUP($C$25,'Ingresos Proyecciones'!$C$9:$P$9,'Ingresos Proyecciones'!$C$178:$P$178),FALSE)</f>
        <v>9468</v>
      </c>
      <c r="D45" s="6">
        <v>0</v>
      </c>
      <c r="E45" s="6">
        <f t="shared" si="5"/>
        <v>9468</v>
      </c>
      <c r="F45" s="425">
        <f t="shared" si="6"/>
        <v>9468</v>
      </c>
      <c r="G45" s="6"/>
      <c r="H45" s="6"/>
      <c r="I45" s="426">
        <f t="shared" si="0"/>
        <v>0</v>
      </c>
      <c r="J45" s="6">
        <v>4505</v>
      </c>
      <c r="K45" s="426">
        <f t="shared" si="1"/>
        <v>-1</v>
      </c>
      <c r="L45" s="426">
        <f t="shared" si="2"/>
        <v>0</v>
      </c>
      <c r="M45" s="6">
        <f>VLOOKUP(A45,'Ingresos Proyecciones'!$A$11:$P$121,LOOKUP($O$190,'Ingresos Proyecciones'!$C$9:$P$9,'Ingresos Proyecciones'!$C$178:$P$178),FALSE)</f>
        <v>9468</v>
      </c>
    </row>
    <row r="46" spans="1:13" hidden="1">
      <c r="A46" s="434" t="s">
        <v>841</v>
      </c>
      <c r="B46" s="1107" t="s">
        <v>842</v>
      </c>
      <c r="C46" s="887">
        <f>VLOOKUP(A46,'Ingresos Proyecciones'!$A$11:$P$121,LOOKUP($C$25,'Ingresos Proyecciones'!$C$9:$P$9,'Ingresos Proyecciones'!$C$178:$P$178),FALSE)</f>
        <v>0</v>
      </c>
      <c r="D46" s="6"/>
      <c r="E46" s="6">
        <f t="shared" si="5"/>
        <v>0</v>
      </c>
      <c r="F46" s="425">
        <f t="shared" si="6"/>
        <v>0</v>
      </c>
      <c r="G46" s="6"/>
      <c r="H46" s="6"/>
      <c r="I46" s="426" t="e">
        <f t="shared" si="0"/>
        <v>#DIV/0!</v>
      </c>
      <c r="J46" s="6"/>
      <c r="K46" s="426" t="e">
        <f t="shared" si="1"/>
        <v>#DIV/0!</v>
      </c>
      <c r="L46" s="426" t="e">
        <f t="shared" si="2"/>
        <v>#DIV/0!</v>
      </c>
      <c r="M46" s="6">
        <f>VLOOKUP(A46,'Ingresos Proyecciones'!$A$11:$P$121,LOOKUP($O$190,'Ingresos Proyecciones'!$C$9:$P$9,'Ingresos Proyecciones'!$C$178:$P$178),FALSE)</f>
        <v>0</v>
      </c>
    </row>
    <row r="47" spans="1:13" hidden="1">
      <c r="A47" s="434" t="s">
        <v>843</v>
      </c>
      <c r="B47" s="1107" t="s">
        <v>844</v>
      </c>
      <c r="C47" s="887">
        <f>VLOOKUP(A47,'Ingresos Proyecciones'!$A$11:$P$121,LOOKUP($C$25,'Ingresos Proyecciones'!$C$9:$P$9,'Ingresos Proyecciones'!$C$178:$P$178),FALSE)</f>
        <v>0</v>
      </c>
      <c r="D47" s="6"/>
      <c r="E47" s="6">
        <f t="shared" si="5"/>
        <v>0</v>
      </c>
      <c r="F47" s="425">
        <f t="shared" si="6"/>
        <v>0</v>
      </c>
      <c r="G47" s="6"/>
      <c r="H47" s="6"/>
      <c r="I47" s="426" t="e">
        <f t="shared" si="0"/>
        <v>#DIV/0!</v>
      </c>
      <c r="J47" s="6"/>
      <c r="K47" s="426" t="e">
        <f t="shared" si="1"/>
        <v>#DIV/0!</v>
      </c>
      <c r="L47" s="426" t="e">
        <f t="shared" si="2"/>
        <v>#DIV/0!</v>
      </c>
      <c r="M47" s="6">
        <f>VLOOKUP(A47,'Ingresos Proyecciones'!$A$11:$P$121,LOOKUP($O$190,'Ingresos Proyecciones'!$C$9:$P$9,'Ingresos Proyecciones'!$C$178:$P$178),FALSE)</f>
        <v>0</v>
      </c>
    </row>
    <row r="48" spans="1:13" hidden="1">
      <c r="A48" s="434" t="s">
        <v>845</v>
      </c>
      <c r="B48" s="1107" t="s">
        <v>846</v>
      </c>
      <c r="C48" s="887">
        <f>VLOOKUP(A48,'Ingresos Proyecciones'!$A$11:$P$121,LOOKUP($C$25,'Ingresos Proyecciones'!$C$9:$P$9,'Ingresos Proyecciones'!$C$178:$P$178),FALSE)</f>
        <v>0</v>
      </c>
      <c r="D48" s="6"/>
      <c r="E48" s="6">
        <f t="shared" si="5"/>
        <v>0</v>
      </c>
      <c r="F48" s="425">
        <f t="shared" si="6"/>
        <v>0</v>
      </c>
      <c r="G48" s="6"/>
      <c r="H48" s="6"/>
      <c r="I48" s="426" t="e">
        <f t="shared" si="0"/>
        <v>#DIV/0!</v>
      </c>
      <c r="J48" s="6"/>
      <c r="K48" s="426" t="e">
        <f t="shared" si="1"/>
        <v>#DIV/0!</v>
      </c>
      <c r="L48" s="426" t="e">
        <f t="shared" si="2"/>
        <v>#DIV/0!</v>
      </c>
      <c r="M48" s="6">
        <f>VLOOKUP(A48,'Ingresos Proyecciones'!$A$11:$P$121,LOOKUP($O$190,'Ingresos Proyecciones'!$C$9:$P$9,'Ingresos Proyecciones'!$C$178:$P$178),FALSE)</f>
        <v>0</v>
      </c>
    </row>
    <row r="49" spans="1:14" hidden="1">
      <c r="A49" s="434" t="s">
        <v>847</v>
      </c>
      <c r="B49" s="1106" t="s">
        <v>848</v>
      </c>
      <c r="C49" s="887">
        <f>VLOOKUP(A49,'Ingresos Proyecciones'!$A$11:$P$121,LOOKUP($C$25,'Ingresos Proyecciones'!$C$9:$P$9,'Ingresos Proyecciones'!$C$178:$P$178),FALSE)</f>
        <v>0</v>
      </c>
      <c r="D49" s="6"/>
      <c r="E49" s="6">
        <f t="shared" si="5"/>
        <v>0</v>
      </c>
      <c r="F49" s="425">
        <f t="shared" si="6"/>
        <v>0</v>
      </c>
      <c r="G49" s="6"/>
      <c r="H49" s="6"/>
      <c r="I49" s="426" t="e">
        <f t="shared" si="0"/>
        <v>#DIV/0!</v>
      </c>
      <c r="J49" s="6"/>
      <c r="K49" s="426" t="e">
        <f t="shared" si="1"/>
        <v>#DIV/0!</v>
      </c>
      <c r="L49" s="426" t="e">
        <f t="shared" si="2"/>
        <v>#DIV/0!</v>
      </c>
      <c r="M49" s="6">
        <f>VLOOKUP(A49,'Ingresos Proyecciones'!$A$11:$P$121,LOOKUP($O$190,'Ingresos Proyecciones'!$C$9:$P$9,'Ingresos Proyecciones'!$C$178:$P$178),FALSE)</f>
        <v>0</v>
      </c>
      <c r="N49" s="11"/>
    </row>
    <row r="50" spans="1:14">
      <c r="A50" s="434" t="s">
        <v>849</v>
      </c>
      <c r="B50" s="1106" t="s">
        <v>851</v>
      </c>
      <c r="C50" s="888">
        <f>SUM(C51:C54)+C57+C86+C82</f>
        <v>6502952</v>
      </c>
      <c r="D50" s="32">
        <f>SUM(D51:D54)+D57+D86+D82</f>
        <v>0</v>
      </c>
      <c r="E50" s="32">
        <f>SUM(E51:E54)+E57+E86+E82</f>
        <v>6502952</v>
      </c>
      <c r="F50" s="432">
        <f t="shared" ref="F50:F56" si="7">+E50-D50</f>
        <v>6502952</v>
      </c>
      <c r="G50" s="32">
        <f>SUM(G51:G54)+G57+G86+G82</f>
        <v>0</v>
      </c>
      <c r="H50" s="32">
        <f>SUM(H51:H54)+H57+H86+H82</f>
        <v>0</v>
      </c>
      <c r="I50" s="424">
        <f t="shared" si="0"/>
        <v>0</v>
      </c>
      <c r="J50" s="32">
        <f>SUM(J51:J54)+J57+J86+J82</f>
        <v>3116936</v>
      </c>
      <c r="K50" s="424">
        <f t="shared" si="1"/>
        <v>-1</v>
      </c>
      <c r="L50" s="424">
        <f t="shared" si="2"/>
        <v>0</v>
      </c>
      <c r="M50" s="32">
        <f>SUM(M51:M54)+M57+M86+M82</f>
        <v>6502952</v>
      </c>
    </row>
    <row r="51" spans="1:14">
      <c r="A51" s="434" t="s">
        <v>852</v>
      </c>
      <c r="B51" s="1107" t="s">
        <v>853</v>
      </c>
      <c r="C51" s="889">
        <f>VLOOKUP(A51,'Ingresos Proyecciones'!$A$11:$P$121,LOOKUP($C$25,'Ingresos Proyecciones'!$C$9:$P$9,'Ingresos Proyecciones'!$C$178:$P$178),FALSE)</f>
        <v>60700</v>
      </c>
      <c r="D51" s="6">
        <v>0</v>
      </c>
      <c r="E51" s="6">
        <f>+C51</f>
        <v>60700</v>
      </c>
      <c r="F51" s="44">
        <f t="shared" si="7"/>
        <v>60700</v>
      </c>
      <c r="G51" s="6"/>
      <c r="H51" s="6"/>
      <c r="I51" s="426">
        <f t="shared" si="0"/>
        <v>0</v>
      </c>
      <c r="J51" s="6">
        <f>20978+3039</f>
        <v>24017</v>
      </c>
      <c r="K51" s="426">
        <f t="shared" si="1"/>
        <v>-1</v>
      </c>
      <c r="L51" s="426">
        <f>+H51/C51</f>
        <v>0</v>
      </c>
      <c r="M51" s="6">
        <f>VLOOKUP(A51,'Ingresos Proyecciones'!$A$11:$P$121,LOOKUP($O$190,'Ingresos Proyecciones'!$C$9:$P$9,'Ingresos Proyecciones'!$C$178:$P$178),FALSE)</f>
        <v>60700</v>
      </c>
    </row>
    <row r="52" spans="1:14">
      <c r="A52" s="434" t="s">
        <v>854</v>
      </c>
      <c r="B52" s="1107" t="s">
        <v>909</v>
      </c>
      <c r="C52" s="887">
        <f>VLOOKUP(A52,'Ingresos Proyecciones'!$A$11:$P$121,LOOKUP($C$25,'Ingresos Proyecciones'!$C$9:$P$9,'Ingresos Proyecciones'!$C$178:$P$178),FALSE)</f>
        <v>5000</v>
      </c>
      <c r="D52" s="6">
        <v>0</v>
      </c>
      <c r="E52" s="6">
        <f>+C52</f>
        <v>5000</v>
      </c>
      <c r="F52" s="425">
        <f t="shared" si="7"/>
        <v>5000</v>
      </c>
      <c r="G52" s="6"/>
      <c r="H52" s="6"/>
      <c r="I52" s="426">
        <f t="shared" si="0"/>
        <v>0</v>
      </c>
      <c r="J52" s="6">
        <v>0</v>
      </c>
      <c r="K52" s="426">
        <v>1</v>
      </c>
      <c r="L52" s="426">
        <f t="shared" si="2"/>
        <v>0</v>
      </c>
      <c r="M52" s="6">
        <f>VLOOKUP(A52,'Ingresos Proyecciones'!$A$11:$P$121,LOOKUP($O$190,'Ingresos Proyecciones'!$C$9:$P$9,'Ingresos Proyecciones'!$C$178:$P$178),FALSE)</f>
        <v>5000</v>
      </c>
    </row>
    <row r="53" spans="1:14" hidden="1">
      <c r="A53" s="434" t="s">
        <v>855</v>
      </c>
      <c r="B53" s="1107" t="s">
        <v>856</v>
      </c>
      <c r="C53" s="887">
        <f>VLOOKUP(A53,'Ingresos Proyecciones'!$A$11:$P$121,LOOKUP($C$25,'Ingresos Proyecciones'!$C$9:$P$9,'Ingresos Proyecciones'!$C$178:$P$178),FALSE)</f>
        <v>0</v>
      </c>
      <c r="D53" s="6"/>
      <c r="E53" s="6">
        <f>+C53</f>
        <v>0</v>
      </c>
      <c r="F53" s="425">
        <f t="shared" si="7"/>
        <v>0</v>
      </c>
      <c r="G53" s="6"/>
      <c r="H53" s="6"/>
      <c r="I53" s="426" t="e">
        <f t="shared" si="0"/>
        <v>#DIV/0!</v>
      </c>
      <c r="J53" s="6"/>
      <c r="K53" s="426" t="e">
        <f t="shared" si="1"/>
        <v>#DIV/0!</v>
      </c>
      <c r="L53" s="426" t="e">
        <f t="shared" si="2"/>
        <v>#DIV/0!</v>
      </c>
      <c r="M53" s="6">
        <f>VLOOKUP(A53,'Ingresos Proyecciones'!$A$11:$P$121,LOOKUP($O$190,'Ingresos Proyecciones'!$C$9:$P$9,'Ingresos Proyecciones'!$C$178:$P$178),FALSE)</f>
        <v>0</v>
      </c>
    </row>
    <row r="54" spans="1:14" hidden="1">
      <c r="A54" s="434" t="s">
        <v>857</v>
      </c>
      <c r="B54" s="1107" t="s">
        <v>858</v>
      </c>
      <c r="C54" s="888">
        <f>SUM(C55:C56)</f>
        <v>0</v>
      </c>
      <c r="D54" s="32">
        <f>SUM(D55:D56)</f>
        <v>0</v>
      </c>
      <c r="E54" s="32">
        <f>SUM(E55:E56)</f>
        <v>0</v>
      </c>
      <c r="F54" s="425">
        <f t="shared" si="7"/>
        <v>0</v>
      </c>
      <c r="G54" s="32">
        <f>SUM(G55:G56)</f>
        <v>0</v>
      </c>
      <c r="H54" s="32">
        <f>SUM(H55:H56)</f>
        <v>0</v>
      </c>
      <c r="I54" s="426" t="e">
        <f t="shared" si="0"/>
        <v>#DIV/0!</v>
      </c>
      <c r="J54" s="32">
        <f>SUM(J55:J56)</f>
        <v>0</v>
      </c>
      <c r="K54" s="426" t="e">
        <f t="shared" si="1"/>
        <v>#DIV/0!</v>
      </c>
      <c r="L54" s="426" t="e">
        <f t="shared" si="2"/>
        <v>#DIV/0!</v>
      </c>
      <c r="M54" s="32">
        <f>SUM(M55:M56)</f>
        <v>0</v>
      </c>
    </row>
    <row r="55" spans="1:14" hidden="1">
      <c r="A55" s="434" t="s">
        <v>859</v>
      </c>
      <c r="B55" s="1107" t="s">
        <v>860</v>
      </c>
      <c r="C55" s="887">
        <f>VLOOKUP(A55,'Ingresos Proyecciones'!$A$11:$P$121,LOOKUP($C$25,'Ingresos Proyecciones'!$C$9:$P$9,'Ingresos Proyecciones'!$C$178:$P$178),FALSE)</f>
        <v>0</v>
      </c>
      <c r="D55" s="6"/>
      <c r="E55" s="6">
        <f>+C55</f>
        <v>0</v>
      </c>
      <c r="F55" s="425">
        <f t="shared" si="7"/>
        <v>0</v>
      </c>
      <c r="G55" s="6"/>
      <c r="H55" s="6"/>
      <c r="I55" s="426" t="e">
        <f t="shared" si="0"/>
        <v>#DIV/0!</v>
      </c>
      <c r="J55" s="6"/>
      <c r="K55" s="426" t="e">
        <f t="shared" si="1"/>
        <v>#DIV/0!</v>
      </c>
      <c r="L55" s="426" t="e">
        <f t="shared" si="2"/>
        <v>#DIV/0!</v>
      </c>
      <c r="M55" s="6">
        <f>VLOOKUP(A55,'Ingresos Proyecciones'!$A$11:$P$121,LOOKUP($O$190,'Ingresos Proyecciones'!$C$9:$P$9,'Ingresos Proyecciones'!$C$178:$P$178),FALSE)</f>
        <v>0</v>
      </c>
    </row>
    <row r="56" spans="1:14" hidden="1">
      <c r="A56" s="434" t="s">
        <v>861</v>
      </c>
      <c r="B56" s="1107" t="s">
        <v>862</v>
      </c>
      <c r="C56" s="887">
        <f>VLOOKUP(A56,'Ingresos Proyecciones'!$A$11:$P$121,LOOKUP($C$25,'Ingresos Proyecciones'!$C$9:$P$9,'Ingresos Proyecciones'!$C$178:$P$178),FALSE)</f>
        <v>0</v>
      </c>
      <c r="D56" s="6"/>
      <c r="E56" s="6">
        <f>+C56</f>
        <v>0</v>
      </c>
      <c r="F56" s="425">
        <f t="shared" si="7"/>
        <v>0</v>
      </c>
      <c r="G56" s="6"/>
      <c r="H56" s="6"/>
      <c r="I56" s="426" t="e">
        <f t="shared" si="0"/>
        <v>#DIV/0!</v>
      </c>
      <c r="J56" s="6"/>
      <c r="K56" s="426" t="e">
        <f t="shared" si="1"/>
        <v>#DIV/0!</v>
      </c>
      <c r="L56" s="426" t="e">
        <f t="shared" si="2"/>
        <v>#DIV/0!</v>
      </c>
      <c r="M56" s="6">
        <f>VLOOKUP(A56,'Ingresos Proyecciones'!$A$11:$P$121,LOOKUP($O$190,'Ingresos Proyecciones'!$C$9:$P$9,'Ingresos Proyecciones'!$C$178:$P$178),FALSE)</f>
        <v>0</v>
      </c>
    </row>
    <row r="57" spans="1:14">
      <c r="A57" s="434" t="s">
        <v>863</v>
      </c>
      <c r="B57" s="1106" t="s">
        <v>864</v>
      </c>
      <c r="C57" s="888">
        <f>+C61+C58+C74+C78</f>
        <v>5727609</v>
      </c>
      <c r="D57" s="32">
        <f>+D61+D58+D74+D78</f>
        <v>0</v>
      </c>
      <c r="E57" s="32">
        <f>+E61+E58+E74+E78</f>
        <v>5727609</v>
      </c>
      <c r="F57" s="432">
        <f t="shared" ref="F57:F65" si="8">+E57-D57</f>
        <v>5727609</v>
      </c>
      <c r="G57" s="32">
        <f>+G61+G58+G74+G78</f>
        <v>0</v>
      </c>
      <c r="H57" s="32">
        <f>+H61+H58+H74+H78</f>
        <v>0</v>
      </c>
      <c r="I57" s="424">
        <f t="shared" si="0"/>
        <v>0</v>
      </c>
      <c r="J57" s="32">
        <f>+J61+J58+J74+J78</f>
        <v>3092919</v>
      </c>
      <c r="K57" s="424">
        <f t="shared" si="1"/>
        <v>-1</v>
      </c>
      <c r="L57" s="424">
        <f t="shared" si="2"/>
        <v>0</v>
      </c>
      <c r="M57" s="32">
        <f>+M61+M58+M74+M78</f>
        <v>5727609</v>
      </c>
    </row>
    <row r="58" spans="1:14">
      <c r="A58" s="434" t="s">
        <v>865</v>
      </c>
      <c r="B58" s="1106" t="s">
        <v>866</v>
      </c>
      <c r="C58" s="888">
        <f>SUM(C59:C60)</f>
        <v>714656</v>
      </c>
      <c r="D58" s="32">
        <f>+D59+D60</f>
        <v>0</v>
      </c>
      <c r="E58" s="32">
        <f>+E59+E60</f>
        <v>714656</v>
      </c>
      <c r="F58" s="432">
        <f t="shared" si="8"/>
        <v>714656</v>
      </c>
      <c r="G58" s="32">
        <f>+G59+G60</f>
        <v>0</v>
      </c>
      <c r="H58" s="32">
        <f>+H59+H60</f>
        <v>0</v>
      </c>
      <c r="I58" s="424">
        <f t="shared" ref="I58:I91" si="9">+H58/E58</f>
        <v>0</v>
      </c>
      <c r="J58" s="32">
        <f>+J59+J60</f>
        <v>444662</v>
      </c>
      <c r="K58" s="424">
        <f t="shared" si="1"/>
        <v>-1</v>
      </c>
      <c r="L58" s="424">
        <f t="shared" ref="L58:L91" si="10">+H58/C58</f>
        <v>0</v>
      </c>
      <c r="M58" s="32">
        <f>+M59+M60</f>
        <v>714656</v>
      </c>
    </row>
    <row r="59" spans="1:14" ht="22.5">
      <c r="A59" s="434" t="s">
        <v>867</v>
      </c>
      <c r="B59" s="1106" t="s">
        <v>868</v>
      </c>
      <c r="C59" s="887">
        <f>VLOOKUP(A59,'Ingresos Proyecciones'!$A$11:$P$121,LOOKUP($C$25,'Ingresos Proyecciones'!$C$9:$P$9,'Ingresos Proyecciones'!$C$178:$P$178),FALSE)</f>
        <v>714656</v>
      </c>
      <c r="D59" s="6">
        <v>0</v>
      </c>
      <c r="E59" s="6">
        <f>+C59</f>
        <v>714656</v>
      </c>
      <c r="F59" s="425">
        <f t="shared" si="8"/>
        <v>714656</v>
      </c>
      <c r="G59" s="6"/>
      <c r="H59" s="6"/>
      <c r="I59" s="426">
        <f t="shared" si="9"/>
        <v>0</v>
      </c>
      <c r="J59" s="6">
        <v>444662</v>
      </c>
      <c r="K59" s="426">
        <f t="shared" ref="K59:K90" si="11">+(H59/J59)-1</f>
        <v>-1</v>
      </c>
      <c r="L59" s="426">
        <f t="shared" si="10"/>
        <v>0</v>
      </c>
      <c r="M59" s="6">
        <f>VLOOKUP(A59,'Ingresos Proyecciones'!$A$11:$P$121,LOOKUP($O$190,'Ingresos Proyecciones'!$C$9:$P$9,'Ingresos Proyecciones'!$C$178:$P$178),FALSE)</f>
        <v>714656</v>
      </c>
    </row>
    <row r="60" spans="1:14" hidden="1">
      <c r="A60" s="434" t="s">
        <v>869</v>
      </c>
      <c r="B60" s="1106" t="s">
        <v>870</v>
      </c>
      <c r="C60" s="887">
        <f>VLOOKUP(A60,'Ingresos Proyecciones'!$A$11:$P$121,LOOKUP($C$25,'Ingresos Proyecciones'!$C$9:$P$9,'Ingresos Proyecciones'!$C$178:$P$178),FALSE)</f>
        <v>0</v>
      </c>
      <c r="D60" s="6"/>
      <c r="E60" s="6">
        <f>+C60</f>
        <v>0</v>
      </c>
      <c r="F60" s="425">
        <f t="shared" si="8"/>
        <v>0</v>
      </c>
      <c r="G60" s="6"/>
      <c r="H60" s="6"/>
      <c r="I60" s="426" t="e">
        <f t="shared" si="9"/>
        <v>#DIV/0!</v>
      </c>
      <c r="J60" s="6"/>
      <c r="K60" s="426" t="e">
        <f t="shared" si="11"/>
        <v>#DIV/0!</v>
      </c>
      <c r="L60" s="426" t="e">
        <f>+H60/C60</f>
        <v>#DIV/0!</v>
      </c>
      <c r="M60" s="6">
        <f>VLOOKUP(A60,'Ingresos Proyecciones'!$A$11:$P$121,LOOKUP($O$190,'Ingresos Proyecciones'!$C$9:$P$9,'Ingresos Proyecciones'!$C$178:$P$178),FALSE)</f>
        <v>0</v>
      </c>
    </row>
    <row r="61" spans="1:14">
      <c r="A61" s="434" t="s">
        <v>871</v>
      </c>
      <c r="B61" s="1106" t="s">
        <v>872</v>
      </c>
      <c r="C61" s="888">
        <f>+C62+C65+C71+C72+C73</f>
        <v>5005953</v>
      </c>
      <c r="D61" s="32">
        <f>+D62+D65+D71+D72+D73</f>
        <v>0</v>
      </c>
      <c r="E61" s="32">
        <f>+E62+E65+E71+E72+E73</f>
        <v>5005953</v>
      </c>
      <c r="F61" s="432">
        <f t="shared" si="8"/>
        <v>5005953</v>
      </c>
      <c r="G61" s="32">
        <f>+G62+G65+G71+G72+G73</f>
        <v>0</v>
      </c>
      <c r="H61" s="32">
        <f>+H62+H65+H71+H72+H73</f>
        <v>0</v>
      </c>
      <c r="I61" s="424">
        <f t="shared" si="9"/>
        <v>0</v>
      </c>
      <c r="J61" s="32">
        <f>+J62+J65+J71+J72+J73</f>
        <v>2643427</v>
      </c>
      <c r="K61" s="424">
        <f t="shared" si="11"/>
        <v>-1</v>
      </c>
      <c r="L61" s="424">
        <f t="shared" si="10"/>
        <v>0</v>
      </c>
      <c r="M61" s="32">
        <f>+M62+M65+M71+M72+M73</f>
        <v>5005953</v>
      </c>
    </row>
    <row r="62" spans="1:14">
      <c r="A62" s="434" t="s">
        <v>873</v>
      </c>
      <c r="B62" s="1106" t="s">
        <v>874</v>
      </c>
      <c r="C62" s="888">
        <f>SUM(C63:C64)</f>
        <v>426911</v>
      </c>
      <c r="D62" s="32">
        <f>SUM(D63:D64)</f>
        <v>0</v>
      </c>
      <c r="E62" s="32">
        <f>SUM(E63:E64)</f>
        <v>426911</v>
      </c>
      <c r="F62" s="432">
        <f t="shared" si="8"/>
        <v>426911</v>
      </c>
      <c r="G62" s="32">
        <f>SUM(G63:G64)</f>
        <v>0</v>
      </c>
      <c r="H62" s="32">
        <f>SUM(H63:H64)</f>
        <v>0</v>
      </c>
      <c r="I62" s="424">
        <f t="shared" si="9"/>
        <v>0</v>
      </c>
      <c r="J62" s="32">
        <f>SUM(J63:J64)</f>
        <v>280072</v>
      </c>
      <c r="K62" s="424">
        <f t="shared" si="11"/>
        <v>-1</v>
      </c>
      <c r="L62" s="424">
        <f t="shared" si="10"/>
        <v>0</v>
      </c>
      <c r="M62" s="32">
        <f>SUM(M63:M64)</f>
        <v>426911</v>
      </c>
    </row>
    <row r="63" spans="1:14" hidden="1">
      <c r="A63" s="434" t="s">
        <v>875</v>
      </c>
      <c r="B63" s="1107" t="s">
        <v>876</v>
      </c>
      <c r="C63" s="887">
        <f>VLOOKUP(A63,'Ingresos Proyecciones'!$A$11:$P$121,LOOKUP($C$25,'Ingresos Proyecciones'!$C$9:$P$9,'Ingresos Proyecciones'!$C$178:$P$178),FALSE)</f>
        <v>0</v>
      </c>
      <c r="D63" s="6"/>
      <c r="E63" s="6">
        <f>+C63</f>
        <v>0</v>
      </c>
      <c r="F63" s="425">
        <f t="shared" si="8"/>
        <v>0</v>
      </c>
      <c r="G63" s="6"/>
      <c r="H63" s="6"/>
      <c r="I63" s="426" t="e">
        <f t="shared" si="9"/>
        <v>#DIV/0!</v>
      </c>
      <c r="J63" s="6"/>
      <c r="K63" s="426" t="e">
        <f t="shared" si="11"/>
        <v>#DIV/0!</v>
      </c>
      <c r="L63" s="426" t="e">
        <f t="shared" si="10"/>
        <v>#DIV/0!</v>
      </c>
      <c r="M63" s="6">
        <f>VLOOKUP(A63,'Ingresos Proyecciones'!$A$11:$P$121,LOOKUP($O$190,'Ingresos Proyecciones'!$C$9:$P$9,'Ingresos Proyecciones'!$C$178:$P$178),FALSE)</f>
        <v>0</v>
      </c>
    </row>
    <row r="64" spans="1:14">
      <c r="A64" s="434" t="s">
        <v>877</v>
      </c>
      <c r="B64" s="1107" t="s">
        <v>878</v>
      </c>
      <c r="C64" s="887">
        <f>VLOOKUP(A64,'Ingresos Proyecciones'!$A$11:$P$121,LOOKUP($C$25,'Ingresos Proyecciones'!$C$9:$P$9,'Ingresos Proyecciones'!$C$178:$P$178),FALSE)</f>
        <v>426911</v>
      </c>
      <c r="D64" s="6">
        <v>0</v>
      </c>
      <c r="E64" s="6">
        <f>+C64</f>
        <v>426911</v>
      </c>
      <c r="F64" s="425">
        <f t="shared" si="8"/>
        <v>426911</v>
      </c>
      <c r="G64" s="6"/>
      <c r="H64" s="6"/>
      <c r="I64" s="426">
        <f t="shared" si="9"/>
        <v>0</v>
      </c>
      <c r="J64" s="6">
        <v>280072</v>
      </c>
      <c r="K64" s="426">
        <f t="shared" si="11"/>
        <v>-1</v>
      </c>
      <c r="L64" s="426">
        <f t="shared" si="10"/>
        <v>0</v>
      </c>
      <c r="M64" s="6">
        <f>VLOOKUP(A64,'Ingresos Proyecciones'!$A$11:$P$121,LOOKUP($O$190,'Ingresos Proyecciones'!$C$9:$P$9,'Ingresos Proyecciones'!$C$178:$P$178),FALSE)</f>
        <v>426911</v>
      </c>
    </row>
    <row r="65" spans="1:15">
      <c r="A65" s="434" t="s">
        <v>879</v>
      </c>
      <c r="B65" s="1106" t="s">
        <v>880</v>
      </c>
      <c r="C65" s="888">
        <f>SUM(C66:C70)</f>
        <v>2837410</v>
      </c>
      <c r="D65" s="32">
        <f>SUM(D66:D70)</f>
        <v>0</v>
      </c>
      <c r="E65" s="32">
        <f>SUM(E66:E70)</f>
        <v>2837410</v>
      </c>
      <c r="F65" s="432">
        <f t="shared" si="8"/>
        <v>2837410</v>
      </c>
      <c r="G65" s="32">
        <f>SUM(G66:G70)</f>
        <v>0</v>
      </c>
      <c r="H65" s="32">
        <f>SUM(H66:H70)</f>
        <v>0</v>
      </c>
      <c r="I65" s="424">
        <f t="shared" si="9"/>
        <v>0</v>
      </c>
      <c r="J65" s="32">
        <f>SUM(J66:J70)</f>
        <v>1273686</v>
      </c>
      <c r="K65" s="424">
        <f t="shared" si="11"/>
        <v>-1</v>
      </c>
      <c r="L65" s="424">
        <f t="shared" si="10"/>
        <v>0</v>
      </c>
      <c r="M65" s="32">
        <f>SUM(M66:M70)</f>
        <v>2837410</v>
      </c>
    </row>
    <row r="66" spans="1:15">
      <c r="A66" s="434" t="s">
        <v>881</v>
      </c>
      <c r="B66" s="1107" t="s">
        <v>882</v>
      </c>
      <c r="C66" s="887">
        <f>VLOOKUP(A66,'Ingresos Proyecciones'!$A$11:$P$121,LOOKUP($C$25,'Ingresos Proyecciones'!$C$9:$P$9,'Ingresos Proyecciones'!$C$178:$P$178),FALSE)</f>
        <v>1634306</v>
      </c>
      <c r="D66" s="6">
        <v>0</v>
      </c>
      <c r="E66" s="6">
        <f t="shared" ref="E66:E73" si="12">+C66</f>
        <v>1634306</v>
      </c>
      <c r="F66" s="425">
        <f t="shared" ref="F66:F73" si="13">+E66-D66</f>
        <v>1634306</v>
      </c>
      <c r="G66" s="6"/>
      <c r="H66" s="6"/>
      <c r="I66" s="426">
        <f t="shared" si="9"/>
        <v>0</v>
      </c>
      <c r="J66" s="6">
        <v>1181330</v>
      </c>
      <c r="K66" s="426">
        <f t="shared" si="11"/>
        <v>-1</v>
      </c>
      <c r="L66" s="426">
        <f t="shared" si="10"/>
        <v>0</v>
      </c>
      <c r="M66" s="6">
        <f>VLOOKUP(A66,'Ingresos Proyecciones'!$A$11:$P$121,LOOKUP($O$190,'Ingresos Proyecciones'!$C$9:$P$9,'Ingresos Proyecciones'!$C$178:$P$178),FALSE)</f>
        <v>1634306</v>
      </c>
    </row>
    <row r="67" spans="1:15">
      <c r="A67" s="434" t="s">
        <v>883</v>
      </c>
      <c r="B67" s="1107" t="s">
        <v>884</v>
      </c>
      <c r="C67" s="887">
        <f>VLOOKUP(A67,'Ingresos Proyecciones'!$A$11:$P$121,LOOKUP($C$25,'Ingresos Proyecciones'!$C$9:$P$9,'Ingresos Proyecciones'!$C$178:$P$178),FALSE)</f>
        <v>1109589</v>
      </c>
      <c r="D67" s="6">
        <v>0</v>
      </c>
      <c r="E67" s="6">
        <f t="shared" si="12"/>
        <v>1109589</v>
      </c>
      <c r="F67" s="425">
        <f t="shared" si="13"/>
        <v>1109589</v>
      </c>
      <c r="G67" s="6"/>
      <c r="H67" s="6">
        <v>0</v>
      </c>
      <c r="I67" s="426">
        <f t="shared" si="9"/>
        <v>0</v>
      </c>
      <c r="J67" s="6">
        <f>9899+9916</f>
        <v>19815</v>
      </c>
      <c r="K67" s="426">
        <f t="shared" si="11"/>
        <v>-1</v>
      </c>
      <c r="L67" s="426">
        <f t="shared" si="10"/>
        <v>0</v>
      </c>
      <c r="M67" s="6">
        <f>VLOOKUP(A67,'Ingresos Proyecciones'!$A$11:$P$121,LOOKUP($O$190,'Ingresos Proyecciones'!$C$9:$P$9,'Ingresos Proyecciones'!$C$178:$P$178),FALSE)</f>
        <v>1109589</v>
      </c>
    </row>
    <row r="68" spans="1:15">
      <c r="A68" s="434" t="s">
        <v>885</v>
      </c>
      <c r="B68" s="1107" t="s">
        <v>886</v>
      </c>
      <c r="C68" s="887">
        <f>VLOOKUP(A68,'Ingresos Proyecciones'!$A$11:$P$121,LOOKUP($C$25,'Ingresos Proyecciones'!$C$9:$P$9,'Ingresos Proyecciones'!$C$178:$P$178),FALSE)</f>
        <v>93515</v>
      </c>
      <c r="D68" s="6">
        <v>0</v>
      </c>
      <c r="E68" s="6">
        <f t="shared" si="12"/>
        <v>93515</v>
      </c>
      <c r="F68" s="425">
        <f t="shared" si="13"/>
        <v>93515</v>
      </c>
      <c r="G68" s="6"/>
      <c r="H68" s="6"/>
      <c r="I68" s="426">
        <f t="shared" si="9"/>
        <v>0</v>
      </c>
      <c r="J68" s="6">
        <v>72541</v>
      </c>
      <c r="K68" s="426">
        <f t="shared" si="11"/>
        <v>-1</v>
      </c>
      <c r="L68" s="426">
        <f t="shared" si="10"/>
        <v>0</v>
      </c>
      <c r="M68" s="6">
        <f>VLOOKUP(A68,'Ingresos Proyecciones'!$A$11:$P$121,LOOKUP($O$190,'Ingresos Proyecciones'!$C$9:$P$9,'Ingresos Proyecciones'!$C$178:$P$178),FALSE)</f>
        <v>93515</v>
      </c>
    </row>
    <row r="69" spans="1:15" hidden="1">
      <c r="A69" s="434" t="s">
        <v>887</v>
      </c>
      <c r="B69" s="1107" t="s">
        <v>888</v>
      </c>
      <c r="C69" s="887">
        <f>VLOOKUP(A69,'Ingresos Proyecciones'!$A$11:$P$121,LOOKUP($C$25,'Ingresos Proyecciones'!$C$9:$P$9,'Ingresos Proyecciones'!$C$178:$P$178),FALSE)</f>
        <v>0</v>
      </c>
      <c r="D69" s="6"/>
      <c r="E69" s="6">
        <f t="shared" si="12"/>
        <v>0</v>
      </c>
      <c r="F69" s="425">
        <f t="shared" si="13"/>
        <v>0</v>
      </c>
      <c r="G69" s="6"/>
      <c r="H69" s="6"/>
      <c r="I69" s="426" t="e">
        <f t="shared" si="9"/>
        <v>#DIV/0!</v>
      </c>
      <c r="J69" s="6"/>
      <c r="K69" s="426" t="e">
        <f t="shared" si="11"/>
        <v>#DIV/0!</v>
      </c>
      <c r="L69" s="426" t="e">
        <f t="shared" si="10"/>
        <v>#DIV/0!</v>
      </c>
      <c r="M69" s="6">
        <f>VLOOKUP(A69,'Ingresos Proyecciones'!$A$11:$P$121,LOOKUP($O$190,'Ingresos Proyecciones'!$C$9:$P$9,'Ingresos Proyecciones'!$C$178:$P$178),FALSE)</f>
        <v>0</v>
      </c>
    </row>
    <row r="70" spans="1:15" hidden="1">
      <c r="A70" s="434" t="s">
        <v>889</v>
      </c>
      <c r="B70" s="1107" t="s">
        <v>890</v>
      </c>
      <c r="C70" s="887">
        <f>VLOOKUP(A70,'Ingresos Proyecciones'!$A$11:$P$121,LOOKUP($C$25,'Ingresos Proyecciones'!$C$9:$P$9,'Ingresos Proyecciones'!$C$178:$P$178),FALSE)</f>
        <v>0</v>
      </c>
      <c r="D70" s="6"/>
      <c r="E70" s="6">
        <f t="shared" si="12"/>
        <v>0</v>
      </c>
      <c r="F70" s="425">
        <f t="shared" si="13"/>
        <v>0</v>
      </c>
      <c r="G70" s="6"/>
      <c r="H70" s="6"/>
      <c r="I70" s="426" t="e">
        <f t="shared" si="9"/>
        <v>#DIV/0!</v>
      </c>
      <c r="J70" s="6"/>
      <c r="K70" s="426" t="e">
        <f t="shared" si="11"/>
        <v>#DIV/0!</v>
      </c>
      <c r="L70" s="426" t="e">
        <f t="shared" si="10"/>
        <v>#DIV/0!</v>
      </c>
      <c r="M70" s="6">
        <f>VLOOKUP(A70,'Ingresos Proyecciones'!$A$11:$P$121,LOOKUP($O$190,'Ingresos Proyecciones'!$C$9:$P$9,'Ingresos Proyecciones'!$C$178:$P$178),FALSE)</f>
        <v>0</v>
      </c>
    </row>
    <row r="71" spans="1:15" ht="22.5">
      <c r="A71" s="434" t="s">
        <v>891</v>
      </c>
      <c r="B71" s="1106" t="s">
        <v>892</v>
      </c>
      <c r="C71" s="887">
        <f>VLOOKUP(A71,'Ingresos Proyecciones'!$A$11:$P$121,LOOKUP($C$25,'Ingresos Proyecciones'!$C$9:$P$9,'Ingresos Proyecciones'!$C$178:$P$178),FALSE)</f>
        <v>1663434</v>
      </c>
      <c r="D71" s="6">
        <v>0</v>
      </c>
      <c r="E71" s="6">
        <f t="shared" si="12"/>
        <v>1663434</v>
      </c>
      <c r="F71" s="425">
        <f t="shared" si="13"/>
        <v>1663434</v>
      </c>
      <c r="G71" s="6"/>
      <c r="H71" s="6"/>
      <c r="I71" s="426">
        <f t="shared" si="9"/>
        <v>0</v>
      </c>
      <c r="J71" s="6">
        <v>1041015</v>
      </c>
      <c r="K71" s="426">
        <f t="shared" si="11"/>
        <v>-1</v>
      </c>
      <c r="L71" s="426">
        <f t="shared" si="10"/>
        <v>0</v>
      </c>
      <c r="M71" s="6">
        <f>VLOOKUP(A71,'Ingresos Proyecciones'!$A$11:$P$121,LOOKUP($O$190,'Ingresos Proyecciones'!$C$9:$P$9,'Ingresos Proyecciones'!$C$178:$P$178),FALSE)</f>
        <v>1663434</v>
      </c>
      <c r="N71" s="45"/>
      <c r="O71" s="45"/>
    </row>
    <row r="72" spans="1:15">
      <c r="A72" s="434" t="s">
        <v>893</v>
      </c>
      <c r="B72" s="1106" t="s">
        <v>894</v>
      </c>
      <c r="C72" s="887">
        <f>VLOOKUP(A72,'Ingresos Proyecciones'!$A$11:$P$121,LOOKUP($C$25,'Ingresos Proyecciones'!$C$9:$P$9,'Ingresos Proyecciones'!$C$178:$P$178),FALSE)</f>
        <v>78198</v>
      </c>
      <c r="D72" s="6">
        <v>0</v>
      </c>
      <c r="E72" s="6">
        <f t="shared" si="12"/>
        <v>78198</v>
      </c>
      <c r="F72" s="425">
        <f t="shared" si="13"/>
        <v>78198</v>
      </c>
      <c r="G72" s="6"/>
      <c r="H72" s="6"/>
      <c r="I72" s="426">
        <f t="shared" si="9"/>
        <v>0</v>
      </c>
      <c r="J72" s="6">
        <v>48654</v>
      </c>
      <c r="K72" s="426">
        <f t="shared" si="11"/>
        <v>-1</v>
      </c>
      <c r="L72" s="426">
        <f t="shared" si="10"/>
        <v>0</v>
      </c>
      <c r="M72" s="6">
        <f>VLOOKUP(A72,'Ingresos Proyecciones'!$A$11:$P$121,LOOKUP($O$190,'Ingresos Proyecciones'!$C$9:$P$9,'Ingresos Proyecciones'!$C$178:$P$178),FALSE)</f>
        <v>78198</v>
      </c>
      <c r="N72" s="45"/>
      <c r="O72" s="45"/>
    </row>
    <row r="73" spans="1:15" ht="22.5" hidden="1">
      <c r="A73" s="434" t="s">
        <v>895</v>
      </c>
      <c r="B73" s="1106" t="s">
        <v>927</v>
      </c>
      <c r="C73" s="887">
        <f>VLOOKUP(A73,'Ingresos Proyecciones'!$A$11:$P$121,LOOKUP($C$25,'Ingresos Proyecciones'!$C$9:$P$9,'Ingresos Proyecciones'!$C$178:$P$178),FALSE)</f>
        <v>0</v>
      </c>
      <c r="D73" s="6"/>
      <c r="E73" s="6">
        <f t="shared" si="12"/>
        <v>0</v>
      </c>
      <c r="F73" s="425">
        <f t="shared" si="13"/>
        <v>0</v>
      </c>
      <c r="G73" s="6"/>
      <c r="H73" s="6"/>
      <c r="I73" s="426" t="e">
        <f t="shared" si="9"/>
        <v>#DIV/0!</v>
      </c>
      <c r="J73" s="6"/>
      <c r="K73" s="426" t="e">
        <f t="shared" si="11"/>
        <v>#DIV/0!</v>
      </c>
      <c r="L73" s="426" t="e">
        <f t="shared" si="10"/>
        <v>#DIV/0!</v>
      </c>
      <c r="M73" s="6">
        <f>VLOOKUP(A73,'Ingresos Proyecciones'!$A$11:$P$121,LOOKUP($O$190,'Ingresos Proyecciones'!$C$9:$P$9,'Ingresos Proyecciones'!$C$178:$P$178),FALSE)</f>
        <v>0</v>
      </c>
      <c r="N73" s="45"/>
      <c r="O73" s="45"/>
    </row>
    <row r="74" spans="1:15" hidden="1">
      <c r="A74" s="434" t="s">
        <v>928</v>
      </c>
      <c r="B74" s="1106" t="s">
        <v>929</v>
      </c>
      <c r="C74" s="888">
        <f>SUM(C75:C77)</f>
        <v>0</v>
      </c>
      <c r="D74" s="32">
        <f>SUM(D75:D77)</f>
        <v>0</v>
      </c>
      <c r="E74" s="32">
        <f>SUM(E75:E77)</f>
        <v>0</v>
      </c>
      <c r="F74" s="432">
        <f t="shared" ref="F74:F90" si="14">+E74-D74</f>
        <v>0</v>
      </c>
      <c r="G74" s="32">
        <f>SUM(G75:G77)</f>
        <v>0</v>
      </c>
      <c r="H74" s="32">
        <f>SUM(H75:H77)</f>
        <v>0</v>
      </c>
      <c r="I74" s="424" t="e">
        <f t="shared" si="9"/>
        <v>#DIV/0!</v>
      </c>
      <c r="J74" s="32">
        <f>SUM(J75:J77)</f>
        <v>0</v>
      </c>
      <c r="K74" s="424" t="e">
        <f t="shared" si="11"/>
        <v>#DIV/0!</v>
      </c>
      <c r="L74" s="424" t="e">
        <f t="shared" si="10"/>
        <v>#DIV/0!</v>
      </c>
      <c r="M74" s="32">
        <f>SUM(M75:M77)</f>
        <v>0</v>
      </c>
    </row>
    <row r="75" spans="1:15" hidden="1">
      <c r="A75" s="434" t="s">
        <v>930</v>
      </c>
      <c r="B75" s="1107" t="s">
        <v>931</v>
      </c>
      <c r="C75" s="887">
        <f>VLOOKUP(A75,'Ingresos Proyecciones'!$A$11:$P$121,LOOKUP($C$25,'Ingresos Proyecciones'!$C$9:$P$9,'Ingresos Proyecciones'!$C$178:$P$178),FALSE)</f>
        <v>0</v>
      </c>
      <c r="D75" s="6"/>
      <c r="E75" s="6">
        <f>+C75</f>
        <v>0</v>
      </c>
      <c r="F75" s="425">
        <f t="shared" si="14"/>
        <v>0</v>
      </c>
      <c r="G75" s="6"/>
      <c r="H75" s="6"/>
      <c r="I75" s="426" t="e">
        <f t="shared" si="9"/>
        <v>#DIV/0!</v>
      </c>
      <c r="J75" s="6"/>
      <c r="K75" s="426" t="e">
        <f t="shared" si="11"/>
        <v>#DIV/0!</v>
      </c>
      <c r="L75" s="426" t="e">
        <f t="shared" si="10"/>
        <v>#DIV/0!</v>
      </c>
      <c r="M75" s="6">
        <f>VLOOKUP(A75,'Ingresos Proyecciones'!$A$11:$P$121,LOOKUP($O$190,'Ingresos Proyecciones'!$C$9:$P$9,'Ingresos Proyecciones'!$C$178:$P$178),FALSE)</f>
        <v>0</v>
      </c>
    </row>
    <row r="76" spans="1:15" hidden="1">
      <c r="A76" s="434" t="s">
        <v>932</v>
      </c>
      <c r="B76" s="1107" t="s">
        <v>933</v>
      </c>
      <c r="C76" s="887">
        <f>VLOOKUP(A76,'Ingresos Proyecciones'!$A$11:$P$121,LOOKUP($C$25,'Ingresos Proyecciones'!$C$9:$P$9,'Ingresos Proyecciones'!$C$178:$P$178),FALSE)</f>
        <v>0</v>
      </c>
      <c r="D76" s="6"/>
      <c r="E76" s="6">
        <f>+C76</f>
        <v>0</v>
      </c>
      <c r="F76" s="425">
        <f t="shared" si="14"/>
        <v>0</v>
      </c>
      <c r="G76" s="6"/>
      <c r="H76" s="6"/>
      <c r="I76" s="426" t="e">
        <f t="shared" si="9"/>
        <v>#DIV/0!</v>
      </c>
      <c r="J76" s="6"/>
      <c r="K76" s="426" t="e">
        <f t="shared" si="11"/>
        <v>#DIV/0!</v>
      </c>
      <c r="L76" s="426" t="e">
        <f t="shared" si="10"/>
        <v>#DIV/0!</v>
      </c>
      <c r="M76" s="6">
        <f>VLOOKUP(A76,'Ingresos Proyecciones'!$A$11:$P$121,LOOKUP($O$190,'Ingresos Proyecciones'!$C$9:$P$9,'Ingresos Proyecciones'!$C$178:$P$178),FALSE)</f>
        <v>0</v>
      </c>
    </row>
    <row r="77" spans="1:15" hidden="1">
      <c r="A77" s="434" t="s">
        <v>934</v>
      </c>
      <c r="B77" s="1107" t="s">
        <v>935</v>
      </c>
      <c r="C77" s="887">
        <f>VLOOKUP(A77,'Ingresos Proyecciones'!$A$11:$P$121,LOOKUP($C$25,'Ingresos Proyecciones'!$C$9:$P$9,'Ingresos Proyecciones'!$C$178:$P$178),FALSE)</f>
        <v>0</v>
      </c>
      <c r="D77" s="6"/>
      <c r="E77" s="6">
        <f>+C77</f>
        <v>0</v>
      </c>
      <c r="F77" s="425">
        <f t="shared" si="14"/>
        <v>0</v>
      </c>
      <c r="G77" s="6"/>
      <c r="H77" s="6"/>
      <c r="I77" s="426" t="e">
        <f t="shared" si="9"/>
        <v>#DIV/0!</v>
      </c>
      <c r="J77" s="6"/>
      <c r="K77" s="426" t="e">
        <f t="shared" si="11"/>
        <v>#DIV/0!</v>
      </c>
      <c r="L77" s="426" t="e">
        <f t="shared" si="10"/>
        <v>#DIV/0!</v>
      </c>
      <c r="M77" s="6">
        <f>VLOOKUP(A77,'Ingresos Proyecciones'!$A$11:$P$121,LOOKUP($O$190,'Ingresos Proyecciones'!$C$9:$P$9,'Ingresos Proyecciones'!$C$178:$P$178),FALSE)</f>
        <v>0</v>
      </c>
    </row>
    <row r="78" spans="1:15">
      <c r="A78" s="434" t="s">
        <v>936</v>
      </c>
      <c r="B78" s="1106" t="s">
        <v>937</v>
      </c>
      <c r="C78" s="888">
        <f>SUM(C79:C81)</f>
        <v>7000</v>
      </c>
      <c r="D78" s="32">
        <f>SUM(D79:D81)</f>
        <v>0</v>
      </c>
      <c r="E78" s="32">
        <f>SUM(E79:E81)</f>
        <v>7000</v>
      </c>
      <c r="F78" s="432">
        <f t="shared" si="14"/>
        <v>7000</v>
      </c>
      <c r="G78" s="32">
        <f>SUM(G79:G81)</f>
        <v>0</v>
      </c>
      <c r="H78" s="32">
        <f>SUM(H79:H81)</f>
        <v>0</v>
      </c>
      <c r="I78" s="424">
        <f t="shared" si="9"/>
        <v>0</v>
      </c>
      <c r="J78" s="32">
        <f>SUM(J79:J81)</f>
        <v>4830</v>
      </c>
      <c r="K78" s="424">
        <f t="shared" si="11"/>
        <v>-1</v>
      </c>
      <c r="L78" s="424">
        <f t="shared" si="10"/>
        <v>0</v>
      </c>
      <c r="M78" s="32">
        <f>SUM(M79:M81)</f>
        <v>7000</v>
      </c>
    </row>
    <row r="79" spans="1:15" hidden="1">
      <c r="A79" s="434" t="s">
        <v>938</v>
      </c>
      <c r="B79" s="1107" t="s">
        <v>939</v>
      </c>
      <c r="C79" s="887">
        <f>VLOOKUP(A79,'Ingresos Proyecciones'!$A$11:$P$121,LOOKUP($C$25,'Ingresos Proyecciones'!$C$9:$P$9,'Ingresos Proyecciones'!$C$178:$P$178),FALSE)</f>
        <v>0</v>
      </c>
      <c r="D79" s="6"/>
      <c r="E79" s="6">
        <f>+C79</f>
        <v>0</v>
      </c>
      <c r="F79" s="425">
        <f t="shared" si="14"/>
        <v>0</v>
      </c>
      <c r="G79" s="6"/>
      <c r="H79" s="6"/>
      <c r="I79" s="426" t="e">
        <f t="shared" si="9"/>
        <v>#DIV/0!</v>
      </c>
      <c r="J79" s="6"/>
      <c r="K79" s="426" t="e">
        <f t="shared" si="11"/>
        <v>#DIV/0!</v>
      </c>
      <c r="L79" s="426" t="e">
        <f t="shared" si="10"/>
        <v>#DIV/0!</v>
      </c>
      <c r="M79" s="6">
        <f>VLOOKUP(A79,'Ingresos Proyecciones'!$A$11:$P$121,LOOKUP($O$190,'Ingresos Proyecciones'!$C$9:$P$9,'Ingresos Proyecciones'!$C$178:$P$178),FALSE)</f>
        <v>0</v>
      </c>
    </row>
    <row r="80" spans="1:15">
      <c r="A80" s="434" t="s">
        <v>940</v>
      </c>
      <c r="B80" s="1107" t="s">
        <v>941</v>
      </c>
      <c r="C80" s="887">
        <f>VLOOKUP(A80,'Ingresos Proyecciones'!$A$11:$P$121,LOOKUP($C$25,'Ingresos Proyecciones'!$C$9:$P$9,'Ingresos Proyecciones'!$C$178:$P$178),FALSE)</f>
        <v>7000</v>
      </c>
      <c r="D80" s="6">
        <v>0</v>
      </c>
      <c r="E80" s="6">
        <f>+C80</f>
        <v>7000</v>
      </c>
      <c r="F80" s="425">
        <f t="shared" si="14"/>
        <v>7000</v>
      </c>
      <c r="G80" s="6"/>
      <c r="H80" s="6"/>
      <c r="I80" s="426">
        <f t="shared" si="9"/>
        <v>0</v>
      </c>
      <c r="J80" s="6">
        <v>4830</v>
      </c>
      <c r="K80" s="426">
        <f t="shared" si="11"/>
        <v>-1</v>
      </c>
      <c r="L80" s="426">
        <f t="shared" si="10"/>
        <v>0</v>
      </c>
      <c r="M80" s="6">
        <f>VLOOKUP(A80,'Ingresos Proyecciones'!$A$11:$P$121,LOOKUP($O$190,'Ingresos Proyecciones'!$C$9:$P$9,'Ingresos Proyecciones'!$C$178:$P$178),FALSE)</f>
        <v>7000</v>
      </c>
    </row>
    <row r="81" spans="1:15" hidden="1">
      <c r="A81" s="434" t="s">
        <v>942</v>
      </c>
      <c r="B81" s="1107" t="s">
        <v>943</v>
      </c>
      <c r="C81" s="887">
        <f>VLOOKUP(A81,'Ingresos Proyecciones'!$A$11:$P$121,LOOKUP($C$25,'Ingresos Proyecciones'!$C$9:$P$9,'Ingresos Proyecciones'!$C$178:$P$178),FALSE)</f>
        <v>0</v>
      </c>
      <c r="D81" s="6"/>
      <c r="E81" s="6">
        <f>+C81</f>
        <v>0</v>
      </c>
      <c r="F81" s="425">
        <f t="shared" si="14"/>
        <v>0</v>
      </c>
      <c r="G81" s="6"/>
      <c r="H81" s="6"/>
      <c r="I81" s="426" t="e">
        <f t="shared" si="9"/>
        <v>#DIV/0!</v>
      </c>
      <c r="J81" s="6"/>
      <c r="K81" s="426" t="e">
        <f t="shared" si="11"/>
        <v>#DIV/0!</v>
      </c>
      <c r="L81" s="426" t="e">
        <f t="shared" si="10"/>
        <v>#DIV/0!</v>
      </c>
      <c r="M81" s="6">
        <f>VLOOKUP(A81,'Ingresos Proyecciones'!$A$11:$P$121,LOOKUP($O$190,'Ingresos Proyecciones'!$C$9:$P$9,'Ingresos Proyecciones'!$C$178:$P$178),FALSE)</f>
        <v>0</v>
      </c>
    </row>
    <row r="82" spans="1:15">
      <c r="A82" s="434" t="s">
        <v>944</v>
      </c>
      <c r="B82" s="1106" t="s">
        <v>945</v>
      </c>
      <c r="C82" s="888">
        <f>SUM(C83:C85)</f>
        <v>709643</v>
      </c>
      <c r="D82" s="32">
        <f>SUM(D83:D85)</f>
        <v>0</v>
      </c>
      <c r="E82" s="32">
        <f>SUM(E83:E85)</f>
        <v>709643</v>
      </c>
      <c r="F82" s="432">
        <f t="shared" si="14"/>
        <v>709643</v>
      </c>
      <c r="G82" s="32">
        <f>SUM(G83:G85)</f>
        <v>0</v>
      </c>
      <c r="H82" s="32">
        <f>SUM(H83:H85)</f>
        <v>0</v>
      </c>
      <c r="I82" s="424">
        <v>0</v>
      </c>
      <c r="J82" s="32">
        <f>SUM(J83:J85)</f>
        <v>0</v>
      </c>
      <c r="K82" s="424">
        <v>1</v>
      </c>
      <c r="L82" s="424">
        <f t="shared" si="10"/>
        <v>0</v>
      </c>
      <c r="M82" s="32">
        <f>SUM(M83:M85)</f>
        <v>709643</v>
      </c>
    </row>
    <row r="83" spans="1:15" hidden="1">
      <c r="A83" s="434" t="s">
        <v>946</v>
      </c>
      <c r="B83" s="1107" t="s">
        <v>947</v>
      </c>
      <c r="C83" s="887">
        <f>VLOOKUP(A83,'Ingresos Proyecciones'!$A$11:$P$121,LOOKUP($C$25,'Ingresos Proyecciones'!$C$9:$P$9,'Ingresos Proyecciones'!$C$178:$P$178),FALSE)</f>
        <v>0</v>
      </c>
      <c r="D83" s="6"/>
      <c r="E83" s="6">
        <f>+C83</f>
        <v>0</v>
      </c>
      <c r="F83" s="425">
        <f t="shared" si="14"/>
        <v>0</v>
      </c>
      <c r="G83" s="6"/>
      <c r="H83" s="6"/>
      <c r="I83" s="426" t="e">
        <f t="shared" si="9"/>
        <v>#DIV/0!</v>
      </c>
      <c r="J83" s="6"/>
      <c r="K83" s="426" t="e">
        <f t="shared" si="11"/>
        <v>#DIV/0!</v>
      </c>
      <c r="L83" s="426" t="e">
        <f t="shared" si="10"/>
        <v>#DIV/0!</v>
      </c>
      <c r="M83" s="6">
        <f>VLOOKUP(A83,'Ingresos Proyecciones'!$A$11:$P$121,LOOKUP($O$190,'Ingresos Proyecciones'!$C$9:$P$9,'Ingresos Proyecciones'!$C$178:$P$178),FALSE)</f>
        <v>0</v>
      </c>
    </row>
    <row r="84" spans="1:15" hidden="1">
      <c r="A84" s="434" t="s">
        <v>948</v>
      </c>
      <c r="B84" s="1107" t="s">
        <v>949</v>
      </c>
      <c r="C84" s="887">
        <f>VLOOKUP(A84,'Ingresos Proyecciones'!$A$11:$P$121,LOOKUP($C$25,'Ingresos Proyecciones'!$C$9:$P$9,'Ingresos Proyecciones'!$C$178:$P$178),FALSE)</f>
        <v>0</v>
      </c>
      <c r="D84" s="6"/>
      <c r="E84" s="6">
        <f>+C84</f>
        <v>0</v>
      </c>
      <c r="F84" s="425">
        <f t="shared" si="14"/>
        <v>0</v>
      </c>
      <c r="G84" s="6"/>
      <c r="H84" s="6"/>
      <c r="I84" s="426" t="e">
        <f t="shared" si="9"/>
        <v>#DIV/0!</v>
      </c>
      <c r="J84" s="6"/>
      <c r="K84" s="426" t="e">
        <f t="shared" si="11"/>
        <v>#DIV/0!</v>
      </c>
      <c r="L84" s="426" t="e">
        <f t="shared" si="10"/>
        <v>#DIV/0!</v>
      </c>
      <c r="M84" s="6">
        <f>VLOOKUP(A84,'Ingresos Proyecciones'!$A$11:$P$121,LOOKUP($O$190,'Ingresos Proyecciones'!$C$9:$P$9,'Ingresos Proyecciones'!$C$178:$P$178),FALSE)</f>
        <v>0</v>
      </c>
    </row>
    <row r="85" spans="1:15">
      <c r="A85" s="434" t="s">
        <v>950</v>
      </c>
      <c r="B85" s="1107" t="s">
        <v>951</v>
      </c>
      <c r="C85" s="887">
        <f>VLOOKUP(A85,'Ingresos Proyecciones'!$A$11:$P$121,LOOKUP($C$25,'Ingresos Proyecciones'!$C$9:$P$9,'Ingresos Proyecciones'!$C$178:$P$178),FALSE)</f>
        <v>709643</v>
      </c>
      <c r="D85" s="6">
        <v>0</v>
      </c>
      <c r="E85" s="6">
        <f>+C85</f>
        <v>709643</v>
      </c>
      <c r="F85" s="425">
        <f t="shared" si="14"/>
        <v>709643</v>
      </c>
      <c r="G85" s="6"/>
      <c r="H85" s="6">
        <v>0</v>
      </c>
      <c r="I85" s="426">
        <v>0</v>
      </c>
      <c r="J85" s="6">
        <v>0</v>
      </c>
      <c r="K85" s="426">
        <v>1</v>
      </c>
      <c r="L85" s="426">
        <f t="shared" si="10"/>
        <v>0</v>
      </c>
      <c r="M85" s="6">
        <f>VLOOKUP(A85,'Ingresos Proyecciones'!$A$11:$P$121,LOOKUP($O$190,'Ingresos Proyecciones'!$C$9:$P$9,'Ingresos Proyecciones'!$C$178:$P$178),FALSE)</f>
        <v>709643</v>
      </c>
    </row>
    <row r="86" spans="1:15" hidden="1">
      <c r="A86" s="434" t="s">
        <v>952</v>
      </c>
      <c r="B86" s="1106" t="s">
        <v>953</v>
      </c>
      <c r="C86" s="887">
        <f>VLOOKUP(A86,'Ingresos Proyecciones'!$A$11:$P$121,LOOKUP($C$25,'Ingresos Proyecciones'!$C$9:$P$9,'Ingresos Proyecciones'!$C$178:$P$178),FALSE)</f>
        <v>0</v>
      </c>
      <c r="D86" s="6"/>
      <c r="E86" s="6">
        <f>+C86</f>
        <v>0</v>
      </c>
      <c r="F86" s="425">
        <f t="shared" si="14"/>
        <v>0</v>
      </c>
      <c r="G86" s="6"/>
      <c r="H86" s="6"/>
      <c r="I86" s="426" t="e">
        <f t="shared" si="9"/>
        <v>#DIV/0!</v>
      </c>
      <c r="J86" s="6"/>
      <c r="K86" s="426" t="e">
        <f t="shared" si="11"/>
        <v>#DIV/0!</v>
      </c>
      <c r="L86" s="426" t="e">
        <f t="shared" si="10"/>
        <v>#DIV/0!</v>
      </c>
      <c r="M86" s="6">
        <f>VLOOKUP(A86,'Ingresos Proyecciones'!$A$11:$P$121,LOOKUP($O$190,'Ingresos Proyecciones'!$C$9:$P$9,'Ingresos Proyecciones'!$C$178:$P$178),FALSE)</f>
        <v>0</v>
      </c>
      <c r="N86" s="45"/>
      <c r="O86" s="45"/>
    </row>
    <row r="87" spans="1:15">
      <c r="A87" s="434" t="s">
        <v>954</v>
      </c>
      <c r="B87" s="1108" t="s">
        <v>955</v>
      </c>
      <c r="C87" s="888" t="e">
        <f>+C88+C89+C90+C99+C111+C123+C124+C125+C128+C129+C130</f>
        <v>#N/A</v>
      </c>
      <c r="D87" s="32">
        <f>+D88+D89+D90+D99+D111+D123+D124+D125+D128+D129+D130</f>
        <v>0</v>
      </c>
      <c r="E87" s="32" t="e">
        <f>+E88+E89+E90+E99+E111+E123+E124+E125+E128+E129+E130</f>
        <v>#N/A</v>
      </c>
      <c r="F87" s="432" t="e">
        <f t="shared" si="14"/>
        <v>#N/A</v>
      </c>
      <c r="G87" s="32">
        <f>+G88+G89+G90+G99+G111+G123+G124+G125+G128+G129+G130</f>
        <v>0</v>
      </c>
      <c r="H87" s="32">
        <f>+H88+H89+H90+H99+H111+H123+H124+H125+H128+H129+H130</f>
        <v>0</v>
      </c>
      <c r="I87" s="424" t="e">
        <f t="shared" si="9"/>
        <v>#N/A</v>
      </c>
      <c r="J87" s="32">
        <f>+J88+J89+J90+J99+J111+J123+J124+J125+J128+J129+J130</f>
        <v>15499</v>
      </c>
      <c r="K87" s="424">
        <f t="shared" si="11"/>
        <v>-1</v>
      </c>
      <c r="L87" s="424" t="e">
        <f t="shared" si="10"/>
        <v>#N/A</v>
      </c>
      <c r="M87" s="32" t="e">
        <f>+M88+M89+M90+M99+M111+M123+M124+M125+M128+M129+M130</f>
        <v>#N/A</v>
      </c>
    </row>
    <row r="88" spans="1:15">
      <c r="A88" s="434" t="s">
        <v>956</v>
      </c>
      <c r="B88" s="1108" t="s">
        <v>904</v>
      </c>
      <c r="C88" s="887">
        <f>VLOOKUP(A88,'Ingresos Proyecciones'!$A$11:$P$121,LOOKUP($C$25,'Ingresos Proyecciones'!$C$9:$P$9,'Ingresos Proyecciones'!$C$178:$P$178),FALSE)</f>
        <v>26000</v>
      </c>
      <c r="D88" s="6">
        <v>0</v>
      </c>
      <c r="E88" s="6">
        <f>+C88</f>
        <v>26000</v>
      </c>
      <c r="F88" s="425">
        <f t="shared" si="14"/>
        <v>26000</v>
      </c>
      <c r="G88" s="6"/>
      <c r="H88" s="6"/>
      <c r="I88" s="426">
        <f t="shared" si="9"/>
        <v>0</v>
      </c>
      <c r="J88" s="6">
        <f>2006+13043</f>
        <v>15049</v>
      </c>
      <c r="K88" s="426">
        <f t="shared" si="11"/>
        <v>-1</v>
      </c>
      <c r="L88" s="426">
        <f t="shared" si="10"/>
        <v>0</v>
      </c>
      <c r="M88" s="6">
        <f>VLOOKUP(A88,'Ingresos Proyecciones'!$A$11:$P$121,LOOKUP($O$190,'Ingresos Proyecciones'!$C$9:$P$9,'Ingresos Proyecciones'!$C$178:$P$178),FALSE)</f>
        <v>26000</v>
      </c>
    </row>
    <row r="89" spans="1:15" hidden="1">
      <c r="A89" s="434" t="s">
        <v>957</v>
      </c>
      <c r="B89" s="1106" t="s">
        <v>958</v>
      </c>
      <c r="C89" s="887">
        <f>VLOOKUP(A89,'Ingresos Proyecciones'!$A$11:$P$121,LOOKUP($C$25,'Ingresos Proyecciones'!$C$9:$P$9,'Ingresos Proyecciones'!$C$178:$P$178),FALSE)</f>
        <v>0</v>
      </c>
      <c r="D89" s="6"/>
      <c r="E89" s="6">
        <f>+C89</f>
        <v>0</v>
      </c>
      <c r="F89" s="425">
        <f t="shared" si="14"/>
        <v>0</v>
      </c>
      <c r="G89" s="6"/>
      <c r="H89" s="6"/>
      <c r="I89" s="426" t="e">
        <f t="shared" si="9"/>
        <v>#DIV/0!</v>
      </c>
      <c r="J89" s="6"/>
      <c r="K89" s="426" t="e">
        <f t="shared" si="11"/>
        <v>#DIV/0!</v>
      </c>
      <c r="L89" s="426" t="e">
        <f t="shared" si="10"/>
        <v>#DIV/0!</v>
      </c>
      <c r="M89" s="6">
        <f>VLOOKUP(A89,'Ingresos Proyecciones'!$A$11:$P$121,LOOKUP($O$190,'Ingresos Proyecciones'!$C$9:$P$9,'Ingresos Proyecciones'!$C$178:$P$178),FALSE)</f>
        <v>0</v>
      </c>
    </row>
    <row r="90" spans="1:15" hidden="1">
      <c r="A90" s="434" t="s">
        <v>959</v>
      </c>
      <c r="B90" s="1106" t="s">
        <v>960</v>
      </c>
      <c r="C90" s="888">
        <f>SUM(C91:C98)</f>
        <v>0</v>
      </c>
      <c r="D90" s="32">
        <f>SUM(D91:D98)</f>
        <v>0</v>
      </c>
      <c r="E90" s="32">
        <f>SUM(E91:E98)</f>
        <v>0</v>
      </c>
      <c r="F90" s="432">
        <f t="shared" si="14"/>
        <v>0</v>
      </c>
      <c r="G90" s="32">
        <f>SUM(G91:G98)</f>
        <v>0</v>
      </c>
      <c r="H90" s="32">
        <f>SUM(H91:H98)</f>
        <v>0</v>
      </c>
      <c r="I90" s="424" t="e">
        <f t="shared" si="9"/>
        <v>#DIV/0!</v>
      </c>
      <c r="J90" s="32">
        <f>SUM(J91:J98)</f>
        <v>0</v>
      </c>
      <c r="K90" s="424" t="e">
        <f t="shared" si="11"/>
        <v>#DIV/0!</v>
      </c>
      <c r="L90" s="424" t="e">
        <f t="shared" si="10"/>
        <v>#DIV/0!</v>
      </c>
      <c r="M90" s="32">
        <f>SUM(M91:M98)</f>
        <v>0</v>
      </c>
    </row>
    <row r="91" spans="1:15" hidden="1">
      <c r="A91" s="434" t="s">
        <v>961</v>
      </c>
      <c r="B91" s="1107" t="s">
        <v>962</v>
      </c>
      <c r="C91" s="887">
        <f>VLOOKUP(A91,'Ingresos Proyecciones'!$A$11:$P$121,LOOKUP($C$25,'Ingresos Proyecciones'!$C$9:$P$9,'Ingresos Proyecciones'!$C$178:$P$178),FALSE)</f>
        <v>0</v>
      </c>
      <c r="D91" s="6"/>
      <c r="E91" s="6">
        <f t="shared" ref="E91:E98" si="15">+C91</f>
        <v>0</v>
      </c>
      <c r="F91" s="425">
        <f t="shared" ref="F91:F98" si="16">+E91-D91</f>
        <v>0</v>
      </c>
      <c r="G91" s="6"/>
      <c r="H91" s="6"/>
      <c r="I91" s="426" t="e">
        <f t="shared" si="9"/>
        <v>#DIV/0!</v>
      </c>
      <c r="J91" s="6"/>
      <c r="K91" s="426" t="e">
        <f t="shared" ref="K91:K122" si="17">+(H91/J91)-1</f>
        <v>#DIV/0!</v>
      </c>
      <c r="L91" s="426" t="e">
        <f t="shared" si="10"/>
        <v>#DIV/0!</v>
      </c>
      <c r="M91" s="6">
        <f>VLOOKUP(A91,'Ingresos Proyecciones'!$A$11:$P$121,LOOKUP($O$190,'Ingresos Proyecciones'!$C$9:$P$9,'Ingresos Proyecciones'!$C$178:$P$178),FALSE)</f>
        <v>0</v>
      </c>
    </row>
    <row r="92" spans="1:15" hidden="1">
      <c r="A92" s="434" t="s">
        <v>963</v>
      </c>
      <c r="B92" s="1107" t="s">
        <v>964</v>
      </c>
      <c r="C92" s="887">
        <f>VLOOKUP(A92,'Ingresos Proyecciones'!$A$11:$P$121,LOOKUP($C$25,'Ingresos Proyecciones'!$C$9:$P$9,'Ingresos Proyecciones'!$C$178:$P$178),FALSE)</f>
        <v>0</v>
      </c>
      <c r="D92" s="6"/>
      <c r="E92" s="6">
        <f t="shared" si="15"/>
        <v>0</v>
      </c>
      <c r="F92" s="425">
        <f t="shared" si="16"/>
        <v>0</v>
      </c>
      <c r="G92" s="6"/>
      <c r="H92" s="6"/>
      <c r="I92" s="426" t="e">
        <f t="shared" ref="I92:I124" si="18">+H92/E92</f>
        <v>#DIV/0!</v>
      </c>
      <c r="J92" s="6"/>
      <c r="K92" s="426" t="e">
        <f t="shared" si="17"/>
        <v>#DIV/0!</v>
      </c>
      <c r="L92" s="426" t="e">
        <f t="shared" ref="L92:L124" si="19">+H92/C92</f>
        <v>#DIV/0!</v>
      </c>
      <c r="M92" s="6">
        <f>VLOOKUP(A92,'Ingresos Proyecciones'!$A$11:$P$121,LOOKUP($O$190,'Ingresos Proyecciones'!$C$9:$P$9,'Ingresos Proyecciones'!$C$178:$P$178),FALSE)</f>
        <v>0</v>
      </c>
    </row>
    <row r="93" spans="1:15" hidden="1">
      <c r="A93" s="434" t="s">
        <v>965</v>
      </c>
      <c r="B93" s="1107" t="s">
        <v>966</v>
      </c>
      <c r="C93" s="887">
        <f>VLOOKUP(A93,'Ingresos Proyecciones'!$A$11:$P$121,LOOKUP($C$25,'Ingresos Proyecciones'!$C$9:$P$9,'Ingresos Proyecciones'!$C$178:$P$178),FALSE)</f>
        <v>0</v>
      </c>
      <c r="D93" s="6"/>
      <c r="E93" s="6">
        <f t="shared" si="15"/>
        <v>0</v>
      </c>
      <c r="F93" s="425">
        <f t="shared" si="16"/>
        <v>0</v>
      </c>
      <c r="G93" s="6"/>
      <c r="H93" s="6"/>
      <c r="I93" s="426" t="e">
        <f t="shared" si="18"/>
        <v>#DIV/0!</v>
      </c>
      <c r="J93" s="6"/>
      <c r="K93" s="426" t="e">
        <f t="shared" si="17"/>
        <v>#DIV/0!</v>
      </c>
      <c r="L93" s="426" t="e">
        <f t="shared" si="19"/>
        <v>#DIV/0!</v>
      </c>
      <c r="M93" s="6">
        <f>VLOOKUP(A93,'Ingresos Proyecciones'!$A$11:$P$121,LOOKUP($O$190,'Ingresos Proyecciones'!$C$9:$P$9,'Ingresos Proyecciones'!$C$178:$P$178),FALSE)</f>
        <v>0</v>
      </c>
    </row>
    <row r="94" spans="1:15" hidden="1">
      <c r="A94" s="434" t="s">
        <v>967</v>
      </c>
      <c r="B94" s="1107" t="s">
        <v>968</v>
      </c>
      <c r="C94" s="887">
        <f>VLOOKUP(A94,'Ingresos Proyecciones'!$A$11:$P$121,LOOKUP($C$25,'Ingresos Proyecciones'!$C$9:$P$9,'Ingresos Proyecciones'!$C$178:$P$178),FALSE)</f>
        <v>0</v>
      </c>
      <c r="D94" s="6"/>
      <c r="E94" s="6">
        <f t="shared" si="15"/>
        <v>0</v>
      </c>
      <c r="F94" s="425">
        <f t="shared" si="16"/>
        <v>0</v>
      </c>
      <c r="G94" s="6"/>
      <c r="H94" s="6"/>
      <c r="I94" s="426" t="e">
        <f t="shared" si="18"/>
        <v>#DIV/0!</v>
      </c>
      <c r="J94" s="6"/>
      <c r="K94" s="426" t="e">
        <f t="shared" si="17"/>
        <v>#DIV/0!</v>
      </c>
      <c r="L94" s="426" t="e">
        <f t="shared" si="19"/>
        <v>#DIV/0!</v>
      </c>
      <c r="M94" s="6">
        <f>VLOOKUP(A94,'Ingresos Proyecciones'!$A$11:$P$121,LOOKUP($O$190,'Ingresos Proyecciones'!$C$9:$P$9,'Ingresos Proyecciones'!$C$178:$P$178),FALSE)</f>
        <v>0</v>
      </c>
    </row>
    <row r="95" spans="1:15" hidden="1">
      <c r="A95" s="434" t="s">
        <v>969</v>
      </c>
      <c r="B95" s="1107" t="s">
        <v>970</v>
      </c>
      <c r="C95" s="887">
        <f>VLOOKUP(A95,'Ingresos Proyecciones'!$A$11:$P$121,LOOKUP($C$25,'Ingresos Proyecciones'!$C$9:$P$9,'Ingresos Proyecciones'!$C$178:$P$178),FALSE)</f>
        <v>0</v>
      </c>
      <c r="D95" s="6"/>
      <c r="E95" s="6">
        <f t="shared" si="15"/>
        <v>0</v>
      </c>
      <c r="F95" s="425">
        <f t="shared" si="16"/>
        <v>0</v>
      </c>
      <c r="G95" s="6"/>
      <c r="H95" s="6"/>
      <c r="I95" s="426" t="e">
        <f t="shared" si="18"/>
        <v>#DIV/0!</v>
      </c>
      <c r="J95" s="6"/>
      <c r="K95" s="426" t="e">
        <f t="shared" si="17"/>
        <v>#DIV/0!</v>
      </c>
      <c r="L95" s="426" t="e">
        <f t="shared" si="19"/>
        <v>#DIV/0!</v>
      </c>
      <c r="M95" s="6">
        <f>VLOOKUP(A95,'Ingresos Proyecciones'!$A$11:$P$121,LOOKUP($O$190,'Ingresos Proyecciones'!$C$9:$P$9,'Ingresos Proyecciones'!$C$178:$P$178),FALSE)</f>
        <v>0</v>
      </c>
    </row>
    <row r="96" spans="1:15" hidden="1">
      <c r="A96" s="434" t="s">
        <v>971</v>
      </c>
      <c r="B96" s="1107" t="s">
        <v>972</v>
      </c>
      <c r="C96" s="887">
        <f>VLOOKUP(A96,'Ingresos Proyecciones'!$A$11:$P$121,LOOKUP($C$25,'Ingresos Proyecciones'!$C$9:$P$9,'Ingresos Proyecciones'!$C$178:$P$178),FALSE)</f>
        <v>0</v>
      </c>
      <c r="D96" s="6"/>
      <c r="E96" s="6">
        <f t="shared" si="15"/>
        <v>0</v>
      </c>
      <c r="F96" s="425">
        <f t="shared" si="16"/>
        <v>0</v>
      </c>
      <c r="G96" s="6"/>
      <c r="H96" s="6"/>
      <c r="I96" s="426" t="e">
        <f t="shared" si="18"/>
        <v>#DIV/0!</v>
      </c>
      <c r="J96" s="6"/>
      <c r="K96" s="426" t="e">
        <f t="shared" si="17"/>
        <v>#DIV/0!</v>
      </c>
      <c r="L96" s="426" t="e">
        <f t="shared" si="19"/>
        <v>#DIV/0!</v>
      </c>
      <c r="M96" s="6">
        <f>VLOOKUP(A96,'Ingresos Proyecciones'!$A$11:$P$121,LOOKUP($O$190,'Ingresos Proyecciones'!$C$9:$P$9,'Ingresos Proyecciones'!$C$178:$P$178),FALSE)</f>
        <v>0</v>
      </c>
    </row>
    <row r="97" spans="1:13" hidden="1">
      <c r="A97" s="434" t="s">
        <v>973</v>
      </c>
      <c r="B97" s="1107" t="s">
        <v>974</v>
      </c>
      <c r="C97" s="887">
        <f>VLOOKUP(A97,'Ingresos Proyecciones'!$A$11:$P$121,LOOKUP($C$25,'Ingresos Proyecciones'!$C$9:$P$9,'Ingresos Proyecciones'!$C$178:$P$178),FALSE)</f>
        <v>0</v>
      </c>
      <c r="D97" s="6"/>
      <c r="E97" s="6">
        <f t="shared" si="15"/>
        <v>0</v>
      </c>
      <c r="F97" s="425">
        <f t="shared" si="16"/>
        <v>0</v>
      </c>
      <c r="G97" s="6"/>
      <c r="H97" s="6"/>
      <c r="I97" s="426" t="e">
        <f t="shared" si="18"/>
        <v>#DIV/0!</v>
      </c>
      <c r="J97" s="6"/>
      <c r="K97" s="426" t="e">
        <f t="shared" si="17"/>
        <v>#DIV/0!</v>
      </c>
      <c r="L97" s="426" t="e">
        <f t="shared" si="19"/>
        <v>#DIV/0!</v>
      </c>
      <c r="M97" s="6">
        <f>VLOOKUP(A97,'Ingresos Proyecciones'!$A$11:$P$121,LOOKUP($O$190,'Ingresos Proyecciones'!$C$9:$P$9,'Ingresos Proyecciones'!$C$178:$P$178),FALSE)</f>
        <v>0</v>
      </c>
    </row>
    <row r="98" spans="1:13" hidden="1">
      <c r="A98" s="434" t="s">
        <v>975</v>
      </c>
      <c r="B98" s="1107" t="s">
        <v>976</v>
      </c>
      <c r="C98" s="887">
        <f>VLOOKUP(A98,'Ingresos Proyecciones'!$A$11:$P$121,LOOKUP($C$25,'Ingresos Proyecciones'!$C$9:$P$9,'Ingresos Proyecciones'!$C$178:$P$178),FALSE)</f>
        <v>0</v>
      </c>
      <c r="D98" s="6"/>
      <c r="E98" s="6">
        <f t="shared" si="15"/>
        <v>0</v>
      </c>
      <c r="F98" s="425">
        <f t="shared" si="16"/>
        <v>0</v>
      </c>
      <c r="G98" s="6"/>
      <c r="H98" s="6"/>
      <c r="I98" s="426" t="e">
        <f t="shared" si="18"/>
        <v>#DIV/0!</v>
      </c>
      <c r="J98" s="6"/>
      <c r="K98" s="426" t="e">
        <f t="shared" si="17"/>
        <v>#DIV/0!</v>
      </c>
      <c r="L98" s="426" t="e">
        <f t="shared" si="19"/>
        <v>#DIV/0!</v>
      </c>
      <c r="M98" s="6">
        <f>VLOOKUP(A98,'Ingresos Proyecciones'!$A$11:$P$121,LOOKUP($O$190,'Ingresos Proyecciones'!$C$9:$P$9,'Ingresos Proyecciones'!$C$178:$P$178),FALSE)</f>
        <v>0</v>
      </c>
    </row>
    <row r="99" spans="1:13" hidden="1">
      <c r="A99" s="434" t="s">
        <v>977</v>
      </c>
      <c r="B99" s="1106" t="s">
        <v>978</v>
      </c>
      <c r="C99" s="888">
        <f>+C100+C110</f>
        <v>0</v>
      </c>
      <c r="D99" s="32">
        <f>+D100+D110</f>
        <v>0</v>
      </c>
      <c r="E99" s="32">
        <f>+E100+E110</f>
        <v>0</v>
      </c>
      <c r="F99" s="432">
        <f t="shared" ref="F99:F110" si="20">+E99-D99</f>
        <v>0</v>
      </c>
      <c r="G99" s="32">
        <f>+G100+G110</f>
        <v>0</v>
      </c>
      <c r="H99" s="32">
        <f>+H100+H110</f>
        <v>0</v>
      </c>
      <c r="I99" s="424" t="e">
        <f t="shared" si="18"/>
        <v>#DIV/0!</v>
      </c>
      <c r="J99" s="32">
        <f>+J100+J110</f>
        <v>0</v>
      </c>
      <c r="K99" s="424" t="e">
        <f t="shared" si="17"/>
        <v>#DIV/0!</v>
      </c>
      <c r="L99" s="424" t="e">
        <f t="shared" si="19"/>
        <v>#DIV/0!</v>
      </c>
      <c r="M99" s="32">
        <f>+M100+M110</f>
        <v>0</v>
      </c>
    </row>
    <row r="100" spans="1:13" hidden="1">
      <c r="A100" s="434" t="s">
        <v>979</v>
      </c>
      <c r="B100" s="1106" t="s">
        <v>980</v>
      </c>
      <c r="C100" s="888">
        <f>+C101+C109</f>
        <v>0</v>
      </c>
      <c r="D100" s="32">
        <f>+D101+D109</f>
        <v>0</v>
      </c>
      <c r="E100" s="32">
        <f>+E101+E109</f>
        <v>0</v>
      </c>
      <c r="F100" s="432">
        <f t="shared" si="20"/>
        <v>0</v>
      </c>
      <c r="G100" s="32">
        <f>+G101+G109</f>
        <v>0</v>
      </c>
      <c r="H100" s="32">
        <f>+H101+H109</f>
        <v>0</v>
      </c>
      <c r="I100" s="424" t="e">
        <f t="shared" si="18"/>
        <v>#DIV/0!</v>
      </c>
      <c r="J100" s="32">
        <f>+J101+J109</f>
        <v>0</v>
      </c>
      <c r="K100" s="424" t="e">
        <f t="shared" si="17"/>
        <v>#DIV/0!</v>
      </c>
      <c r="L100" s="424" t="e">
        <f t="shared" si="19"/>
        <v>#DIV/0!</v>
      </c>
      <c r="M100" s="32">
        <f>+M101+M109</f>
        <v>0</v>
      </c>
    </row>
    <row r="101" spans="1:13" hidden="1">
      <c r="A101" s="434" t="s">
        <v>981</v>
      </c>
      <c r="B101" s="1106" t="s">
        <v>982</v>
      </c>
      <c r="C101" s="888">
        <f>SUM(C102:C108)</f>
        <v>0</v>
      </c>
      <c r="D101" s="32">
        <f>SUM(D102:D108)</f>
        <v>0</v>
      </c>
      <c r="E101" s="32">
        <f>SUM(E102:E108)</f>
        <v>0</v>
      </c>
      <c r="F101" s="432">
        <f t="shared" si="20"/>
        <v>0</v>
      </c>
      <c r="G101" s="32">
        <f>SUM(G102:G108)</f>
        <v>0</v>
      </c>
      <c r="H101" s="32">
        <f>SUM(H102:H108)</f>
        <v>0</v>
      </c>
      <c r="I101" s="424" t="e">
        <f t="shared" si="18"/>
        <v>#DIV/0!</v>
      </c>
      <c r="J101" s="32">
        <f>SUM(J102:J108)</f>
        <v>0</v>
      </c>
      <c r="K101" s="424" t="e">
        <f t="shared" si="17"/>
        <v>#DIV/0!</v>
      </c>
      <c r="L101" s="424" t="e">
        <f t="shared" si="19"/>
        <v>#DIV/0!</v>
      </c>
      <c r="M101" s="32">
        <f>SUM(M102:M108)</f>
        <v>0</v>
      </c>
    </row>
    <row r="102" spans="1:13" hidden="1">
      <c r="A102" s="434" t="s">
        <v>983</v>
      </c>
      <c r="B102" s="1107" t="s">
        <v>984</v>
      </c>
      <c r="C102" s="887">
        <f>VLOOKUP(A102,'Ingresos Proyecciones'!$A$11:$P$121,LOOKUP($C$25,'Ingresos Proyecciones'!$C$9:$P$9,'Ingresos Proyecciones'!$C$178:$P$178),FALSE)</f>
        <v>0</v>
      </c>
      <c r="D102" s="6"/>
      <c r="E102" s="6">
        <f t="shared" ref="E102:E110" si="21">+C102</f>
        <v>0</v>
      </c>
      <c r="F102" s="425">
        <f t="shared" si="20"/>
        <v>0</v>
      </c>
      <c r="G102" s="6"/>
      <c r="H102" s="6"/>
      <c r="I102" s="426" t="e">
        <f t="shared" si="18"/>
        <v>#DIV/0!</v>
      </c>
      <c r="J102" s="6"/>
      <c r="K102" s="426" t="e">
        <f t="shared" si="17"/>
        <v>#DIV/0!</v>
      </c>
      <c r="L102" s="426" t="e">
        <f t="shared" si="19"/>
        <v>#DIV/0!</v>
      </c>
      <c r="M102" s="6">
        <f>VLOOKUP(A102,'Ingresos Proyecciones'!$A$11:$P$121,LOOKUP($O$190,'Ingresos Proyecciones'!$C$9:$P$9,'Ingresos Proyecciones'!$C$178:$P$178),FALSE)</f>
        <v>0</v>
      </c>
    </row>
    <row r="103" spans="1:13" hidden="1">
      <c r="A103" s="434" t="s">
        <v>985</v>
      </c>
      <c r="B103" s="1107" t="s">
        <v>986</v>
      </c>
      <c r="C103" s="887">
        <f>VLOOKUP(A103,'Ingresos Proyecciones'!$A$11:$P$121,LOOKUP($C$25,'Ingresos Proyecciones'!$C$9:$P$9,'Ingresos Proyecciones'!$C$178:$P$178),FALSE)</f>
        <v>0</v>
      </c>
      <c r="D103" s="6"/>
      <c r="E103" s="6">
        <f t="shared" si="21"/>
        <v>0</v>
      </c>
      <c r="F103" s="425">
        <f t="shared" si="20"/>
        <v>0</v>
      </c>
      <c r="G103" s="6"/>
      <c r="H103" s="6"/>
      <c r="I103" s="426" t="e">
        <f t="shared" si="18"/>
        <v>#DIV/0!</v>
      </c>
      <c r="J103" s="6"/>
      <c r="K103" s="426" t="e">
        <f t="shared" si="17"/>
        <v>#DIV/0!</v>
      </c>
      <c r="L103" s="426" t="e">
        <f t="shared" si="19"/>
        <v>#DIV/0!</v>
      </c>
      <c r="M103" s="6">
        <f>VLOOKUP(A103,'Ingresos Proyecciones'!$A$11:$P$121,LOOKUP($O$190,'Ingresos Proyecciones'!$C$9:$P$9,'Ingresos Proyecciones'!$C$178:$P$178),FALSE)</f>
        <v>0</v>
      </c>
    </row>
    <row r="104" spans="1:13" hidden="1">
      <c r="A104" s="434" t="s">
        <v>987</v>
      </c>
      <c r="B104" s="1107" t="s">
        <v>988</v>
      </c>
      <c r="C104" s="887">
        <f>VLOOKUP(A104,'Ingresos Proyecciones'!$A$11:$P$121,LOOKUP($C$25,'Ingresos Proyecciones'!$C$9:$P$9,'Ingresos Proyecciones'!$C$178:$P$178),FALSE)</f>
        <v>0</v>
      </c>
      <c r="D104" s="6"/>
      <c r="E104" s="6">
        <f t="shared" si="21"/>
        <v>0</v>
      </c>
      <c r="F104" s="425">
        <f t="shared" si="20"/>
        <v>0</v>
      </c>
      <c r="G104" s="6"/>
      <c r="H104" s="6"/>
      <c r="I104" s="426" t="e">
        <f t="shared" si="18"/>
        <v>#DIV/0!</v>
      </c>
      <c r="J104" s="6"/>
      <c r="K104" s="426" t="e">
        <f t="shared" si="17"/>
        <v>#DIV/0!</v>
      </c>
      <c r="L104" s="426" t="e">
        <f t="shared" si="19"/>
        <v>#DIV/0!</v>
      </c>
      <c r="M104" s="6">
        <f>VLOOKUP(A104,'Ingresos Proyecciones'!$A$11:$P$121,LOOKUP($O$190,'Ingresos Proyecciones'!$C$9:$P$9,'Ingresos Proyecciones'!$C$178:$P$178),FALSE)</f>
        <v>0</v>
      </c>
    </row>
    <row r="105" spans="1:13" hidden="1">
      <c r="A105" s="434" t="s">
        <v>989</v>
      </c>
      <c r="B105" s="1107" t="s">
        <v>990</v>
      </c>
      <c r="C105" s="887">
        <f>VLOOKUP(A105,'Ingresos Proyecciones'!$A$11:$P$121,LOOKUP($C$25,'Ingresos Proyecciones'!$C$9:$P$9,'Ingresos Proyecciones'!$C$178:$P$178),FALSE)</f>
        <v>0</v>
      </c>
      <c r="D105" s="6"/>
      <c r="E105" s="6">
        <f t="shared" si="21"/>
        <v>0</v>
      </c>
      <c r="F105" s="425">
        <f t="shared" si="20"/>
        <v>0</v>
      </c>
      <c r="G105" s="6"/>
      <c r="H105" s="6"/>
      <c r="I105" s="426" t="e">
        <f t="shared" si="18"/>
        <v>#DIV/0!</v>
      </c>
      <c r="J105" s="6"/>
      <c r="K105" s="426" t="e">
        <f t="shared" si="17"/>
        <v>#DIV/0!</v>
      </c>
      <c r="L105" s="426" t="e">
        <f t="shared" si="19"/>
        <v>#DIV/0!</v>
      </c>
      <c r="M105" s="6">
        <f>VLOOKUP(A105,'Ingresos Proyecciones'!$A$11:$P$121,LOOKUP($O$190,'Ingresos Proyecciones'!$C$9:$P$9,'Ingresos Proyecciones'!$C$178:$P$178),FALSE)</f>
        <v>0</v>
      </c>
    </row>
    <row r="106" spans="1:13" hidden="1">
      <c r="A106" s="434" t="s">
        <v>991</v>
      </c>
      <c r="B106" s="1107" t="s">
        <v>992</v>
      </c>
      <c r="C106" s="887">
        <f>VLOOKUP(A106,'Ingresos Proyecciones'!$A$11:$P$121,LOOKUP($C$25,'Ingresos Proyecciones'!$C$9:$P$9,'Ingresos Proyecciones'!$C$178:$P$178),FALSE)</f>
        <v>0</v>
      </c>
      <c r="D106" s="6"/>
      <c r="E106" s="6">
        <f t="shared" si="21"/>
        <v>0</v>
      </c>
      <c r="F106" s="425">
        <f t="shared" si="20"/>
        <v>0</v>
      </c>
      <c r="G106" s="6"/>
      <c r="H106" s="6"/>
      <c r="I106" s="426" t="e">
        <f t="shared" si="18"/>
        <v>#DIV/0!</v>
      </c>
      <c r="J106" s="6"/>
      <c r="K106" s="426" t="e">
        <f t="shared" si="17"/>
        <v>#DIV/0!</v>
      </c>
      <c r="L106" s="426" t="e">
        <f t="shared" si="19"/>
        <v>#DIV/0!</v>
      </c>
      <c r="M106" s="6">
        <f>VLOOKUP(A106,'Ingresos Proyecciones'!$A$11:$P$121,LOOKUP($O$190,'Ingresos Proyecciones'!$C$9:$P$9,'Ingresos Proyecciones'!$C$178:$P$178),FALSE)</f>
        <v>0</v>
      </c>
    </row>
    <row r="107" spans="1:13" hidden="1">
      <c r="A107" s="434" t="s">
        <v>993</v>
      </c>
      <c r="B107" s="1107" t="s">
        <v>994</v>
      </c>
      <c r="C107" s="887">
        <f>VLOOKUP(A107,'Ingresos Proyecciones'!$A$11:$P$121,LOOKUP($C$25,'Ingresos Proyecciones'!$C$9:$P$9,'Ingresos Proyecciones'!$C$178:$P$178),FALSE)</f>
        <v>0</v>
      </c>
      <c r="D107" s="6"/>
      <c r="E107" s="6">
        <f t="shared" si="21"/>
        <v>0</v>
      </c>
      <c r="F107" s="425">
        <f t="shared" si="20"/>
        <v>0</v>
      </c>
      <c r="G107" s="6"/>
      <c r="H107" s="6"/>
      <c r="I107" s="426" t="e">
        <f t="shared" si="18"/>
        <v>#DIV/0!</v>
      </c>
      <c r="J107" s="6"/>
      <c r="K107" s="426" t="e">
        <f t="shared" si="17"/>
        <v>#DIV/0!</v>
      </c>
      <c r="L107" s="426" t="e">
        <f t="shared" si="19"/>
        <v>#DIV/0!</v>
      </c>
      <c r="M107" s="6">
        <f>VLOOKUP(A107,'Ingresos Proyecciones'!$A$11:$P$121,LOOKUP($O$190,'Ingresos Proyecciones'!$C$9:$P$9,'Ingresos Proyecciones'!$C$178:$P$178),FALSE)</f>
        <v>0</v>
      </c>
    </row>
    <row r="108" spans="1:13" hidden="1">
      <c r="A108" s="434" t="s">
        <v>995</v>
      </c>
      <c r="B108" s="1107" t="s">
        <v>996</v>
      </c>
      <c r="C108" s="887">
        <f>VLOOKUP(A108,'Ingresos Proyecciones'!$A$11:$P$121,LOOKUP($C$25,'Ingresos Proyecciones'!$C$9:$P$9,'Ingresos Proyecciones'!$C$178:$P$178),FALSE)</f>
        <v>0</v>
      </c>
      <c r="D108" s="6"/>
      <c r="E108" s="6">
        <f t="shared" si="21"/>
        <v>0</v>
      </c>
      <c r="F108" s="425">
        <f t="shared" si="20"/>
        <v>0</v>
      </c>
      <c r="G108" s="6"/>
      <c r="H108" s="6"/>
      <c r="I108" s="426" t="e">
        <f t="shared" si="18"/>
        <v>#DIV/0!</v>
      </c>
      <c r="J108" s="6"/>
      <c r="K108" s="426" t="e">
        <f t="shared" si="17"/>
        <v>#DIV/0!</v>
      </c>
      <c r="L108" s="426" t="e">
        <f t="shared" si="19"/>
        <v>#DIV/0!</v>
      </c>
      <c r="M108" s="6">
        <f>VLOOKUP(A108,'Ingresos Proyecciones'!$A$11:$P$121,LOOKUP($O$190,'Ingresos Proyecciones'!$C$9:$P$9,'Ingresos Proyecciones'!$C$178:$P$178),FALSE)</f>
        <v>0</v>
      </c>
    </row>
    <row r="109" spans="1:13" hidden="1">
      <c r="A109" s="434" t="s">
        <v>997</v>
      </c>
      <c r="B109" s="1106" t="s">
        <v>998</v>
      </c>
      <c r="C109" s="887">
        <f>VLOOKUP(A109,'Ingresos Proyecciones'!$A$11:$P$121,LOOKUP($C$25,'Ingresos Proyecciones'!$C$9:$P$9,'Ingresos Proyecciones'!$C$178:$P$178),FALSE)</f>
        <v>0</v>
      </c>
      <c r="D109" s="6"/>
      <c r="E109" s="6">
        <f t="shared" si="21"/>
        <v>0</v>
      </c>
      <c r="F109" s="425">
        <f t="shared" si="20"/>
        <v>0</v>
      </c>
      <c r="G109" s="6"/>
      <c r="H109" s="6"/>
      <c r="I109" s="426" t="e">
        <f t="shared" si="18"/>
        <v>#DIV/0!</v>
      </c>
      <c r="J109" s="6"/>
      <c r="K109" s="426" t="e">
        <f t="shared" si="17"/>
        <v>#DIV/0!</v>
      </c>
      <c r="L109" s="426" t="e">
        <f t="shared" si="19"/>
        <v>#DIV/0!</v>
      </c>
      <c r="M109" s="6">
        <f>VLOOKUP(A109,'Ingresos Proyecciones'!$A$11:$P$121,LOOKUP($O$190,'Ingresos Proyecciones'!$C$9:$P$9,'Ingresos Proyecciones'!$C$178:$P$178),FALSE)</f>
        <v>0</v>
      </c>
    </row>
    <row r="110" spans="1:13" hidden="1">
      <c r="A110" s="434" t="s">
        <v>999</v>
      </c>
      <c r="B110" s="1106" t="s">
        <v>1000</v>
      </c>
      <c r="C110" s="887">
        <f>VLOOKUP(A110,'Ingresos Proyecciones'!$A$11:$P$121,LOOKUP($C$25,'Ingresos Proyecciones'!$C$9:$P$9,'Ingresos Proyecciones'!$C$178:$P$178),FALSE)</f>
        <v>0</v>
      </c>
      <c r="D110" s="6"/>
      <c r="E110" s="6">
        <f t="shared" si="21"/>
        <v>0</v>
      </c>
      <c r="F110" s="425">
        <f t="shared" si="20"/>
        <v>0</v>
      </c>
      <c r="G110" s="6"/>
      <c r="H110" s="6"/>
      <c r="I110" s="426" t="e">
        <f t="shared" si="18"/>
        <v>#DIV/0!</v>
      </c>
      <c r="J110" s="6"/>
      <c r="K110" s="426" t="e">
        <f t="shared" si="17"/>
        <v>#DIV/0!</v>
      </c>
      <c r="L110" s="426" t="e">
        <f t="shared" si="19"/>
        <v>#DIV/0!</v>
      </c>
      <c r="M110" s="6">
        <f>VLOOKUP(A110,'Ingresos Proyecciones'!$A$11:$P$121,LOOKUP($O$190,'Ingresos Proyecciones'!$C$9:$P$9,'Ingresos Proyecciones'!$C$178:$P$178),FALSE)</f>
        <v>0</v>
      </c>
    </row>
    <row r="111" spans="1:13">
      <c r="A111" s="434" t="s">
        <v>1001</v>
      </c>
      <c r="B111" s="1106" t="s">
        <v>1002</v>
      </c>
      <c r="C111" s="888" t="e">
        <f>+C112+C113+C118+C119+C120+C121+C122</f>
        <v>#N/A</v>
      </c>
      <c r="D111" s="32">
        <f>+D112+D113+D118+D119+D120+D121+D122</f>
        <v>0</v>
      </c>
      <c r="E111" s="32" t="e">
        <f>+E112+E113+E118+E119+E120+E121+E122</f>
        <v>#N/A</v>
      </c>
      <c r="F111" s="432" t="e">
        <f>+E111-D111</f>
        <v>#N/A</v>
      </c>
      <c r="G111" s="32">
        <f>+G112+G113+G118+G119+G120+G121+G122</f>
        <v>0</v>
      </c>
      <c r="H111" s="32">
        <f>+H112+H113+H118+H119+H120+H121+H122</f>
        <v>0</v>
      </c>
      <c r="I111" s="424" t="e">
        <f t="shared" si="18"/>
        <v>#N/A</v>
      </c>
      <c r="J111" s="32">
        <f>+J112+J113+J118+J119+J120+J121+J122</f>
        <v>0</v>
      </c>
      <c r="K111" s="424">
        <v>1</v>
      </c>
      <c r="L111" s="424" t="e">
        <f t="shared" si="19"/>
        <v>#N/A</v>
      </c>
      <c r="M111" s="32" t="e">
        <f>+M112+M113+M118+M119+M120+M121+M122</f>
        <v>#N/A</v>
      </c>
    </row>
    <row r="112" spans="1:13" hidden="1">
      <c r="A112" s="434" t="s">
        <v>1003</v>
      </c>
      <c r="B112" s="1106" t="s">
        <v>1004</v>
      </c>
      <c r="C112" s="887">
        <f>VLOOKUP(A112,'Ingresos Proyecciones'!$A$11:$P$121,LOOKUP($C$25,'Ingresos Proyecciones'!$C$9:$P$9,'Ingresos Proyecciones'!$C$178:$P$178),FALSE)</f>
        <v>0</v>
      </c>
      <c r="D112" s="6"/>
      <c r="E112" s="6">
        <f>+C112</f>
        <v>0</v>
      </c>
      <c r="F112" s="425">
        <f>+E112-D112</f>
        <v>0</v>
      </c>
      <c r="G112" s="6"/>
      <c r="H112" s="6"/>
      <c r="I112" s="426" t="e">
        <f t="shared" si="18"/>
        <v>#DIV/0!</v>
      </c>
      <c r="J112" s="6"/>
      <c r="K112" s="426" t="e">
        <f t="shared" si="17"/>
        <v>#DIV/0!</v>
      </c>
      <c r="L112" s="426" t="e">
        <f t="shared" si="19"/>
        <v>#DIV/0!</v>
      </c>
      <c r="M112" s="6">
        <f>VLOOKUP(A112,'Ingresos Proyecciones'!$A$11:$P$121,LOOKUP($O$190,'Ingresos Proyecciones'!$C$9:$P$9,'Ingresos Proyecciones'!$C$178:$P$178),FALSE)</f>
        <v>0</v>
      </c>
    </row>
    <row r="113" spans="1:13" hidden="1">
      <c r="A113" s="434" t="s">
        <v>1005</v>
      </c>
      <c r="B113" s="1106" t="s">
        <v>1006</v>
      </c>
      <c r="C113" s="888">
        <f>SUM(C114:C117)</f>
        <v>0</v>
      </c>
      <c r="D113" s="32">
        <f>SUM(D114:D117)</f>
        <v>0</v>
      </c>
      <c r="E113" s="32">
        <f>SUM(E114:E117)</f>
        <v>0</v>
      </c>
      <c r="F113" s="432">
        <f>+E113-D113</f>
        <v>0</v>
      </c>
      <c r="G113" s="32">
        <f>SUM(G114:G117)</f>
        <v>0</v>
      </c>
      <c r="H113" s="32">
        <f>SUM(H114:H117)</f>
        <v>0</v>
      </c>
      <c r="I113" s="424" t="e">
        <f t="shared" si="18"/>
        <v>#DIV/0!</v>
      </c>
      <c r="J113" s="32">
        <f>SUM(J114:J117)</f>
        <v>0</v>
      </c>
      <c r="K113" s="424" t="e">
        <f t="shared" si="17"/>
        <v>#DIV/0!</v>
      </c>
      <c r="L113" s="424" t="e">
        <f t="shared" si="19"/>
        <v>#DIV/0!</v>
      </c>
      <c r="M113" s="32">
        <f>SUM(M114:M117)</f>
        <v>0</v>
      </c>
    </row>
    <row r="114" spans="1:13" hidden="1">
      <c r="A114" s="434" t="s">
        <v>1007</v>
      </c>
      <c r="B114" s="1107" t="s">
        <v>1008</v>
      </c>
      <c r="C114" s="887">
        <f>VLOOKUP(A114,'Ingresos Proyecciones'!$A$11:$P$121,LOOKUP($C$25,'Ingresos Proyecciones'!$C$9:$P$9,'Ingresos Proyecciones'!$C$178:$P$178),FALSE)</f>
        <v>0</v>
      </c>
      <c r="D114" s="6"/>
      <c r="E114" s="6">
        <f t="shared" ref="E114:E124" si="22">+C114</f>
        <v>0</v>
      </c>
      <c r="F114" s="425">
        <f t="shared" ref="F114:F124" si="23">+E114-D114</f>
        <v>0</v>
      </c>
      <c r="G114" s="6"/>
      <c r="H114" s="6"/>
      <c r="I114" s="426" t="e">
        <f t="shared" si="18"/>
        <v>#DIV/0!</v>
      </c>
      <c r="J114" s="6"/>
      <c r="K114" s="426" t="e">
        <f t="shared" si="17"/>
        <v>#DIV/0!</v>
      </c>
      <c r="L114" s="426" t="e">
        <f t="shared" si="19"/>
        <v>#DIV/0!</v>
      </c>
      <c r="M114" s="6">
        <f>VLOOKUP(A114,'Ingresos Proyecciones'!$A$11:$P$121,LOOKUP($O$190,'Ingresos Proyecciones'!$C$9:$P$9,'Ingresos Proyecciones'!$C$178:$P$178),FALSE)</f>
        <v>0</v>
      </c>
    </row>
    <row r="115" spans="1:13" hidden="1">
      <c r="A115" s="434" t="s">
        <v>1009</v>
      </c>
      <c r="B115" s="1107" t="s">
        <v>1010</v>
      </c>
      <c r="C115" s="887">
        <f>VLOOKUP(A115,'Ingresos Proyecciones'!$A$11:$P$121,LOOKUP($C$25,'Ingresos Proyecciones'!$C$9:$P$9,'Ingresos Proyecciones'!$C$178:$P$178),FALSE)</f>
        <v>0</v>
      </c>
      <c r="D115" s="6"/>
      <c r="E115" s="6">
        <f t="shared" si="22"/>
        <v>0</v>
      </c>
      <c r="F115" s="425">
        <f t="shared" si="23"/>
        <v>0</v>
      </c>
      <c r="G115" s="6"/>
      <c r="H115" s="6"/>
      <c r="I115" s="426" t="e">
        <f t="shared" si="18"/>
        <v>#DIV/0!</v>
      </c>
      <c r="J115" s="6"/>
      <c r="K115" s="426" t="e">
        <f t="shared" si="17"/>
        <v>#DIV/0!</v>
      </c>
      <c r="L115" s="426" t="e">
        <f t="shared" si="19"/>
        <v>#DIV/0!</v>
      </c>
      <c r="M115" s="6">
        <f>VLOOKUP(A115,'Ingresos Proyecciones'!$A$11:$P$121,LOOKUP($O$190,'Ingresos Proyecciones'!$C$9:$P$9,'Ingresos Proyecciones'!$C$178:$P$178),FALSE)</f>
        <v>0</v>
      </c>
    </row>
    <row r="116" spans="1:13" hidden="1">
      <c r="A116" s="434" t="s">
        <v>1011</v>
      </c>
      <c r="B116" s="1107" t="s">
        <v>1012</v>
      </c>
      <c r="C116" s="887">
        <f>VLOOKUP(A116,'Ingresos Proyecciones'!$A$11:$P$121,LOOKUP($C$25,'Ingresos Proyecciones'!$C$9:$P$9,'Ingresos Proyecciones'!$C$178:$P$178),FALSE)</f>
        <v>0</v>
      </c>
      <c r="D116" s="6"/>
      <c r="E116" s="6">
        <f t="shared" si="22"/>
        <v>0</v>
      </c>
      <c r="F116" s="425">
        <f t="shared" si="23"/>
        <v>0</v>
      </c>
      <c r="G116" s="6"/>
      <c r="H116" s="6"/>
      <c r="I116" s="426" t="e">
        <f t="shared" si="18"/>
        <v>#DIV/0!</v>
      </c>
      <c r="J116" s="6"/>
      <c r="K116" s="426" t="e">
        <f t="shared" si="17"/>
        <v>#DIV/0!</v>
      </c>
      <c r="L116" s="426" t="e">
        <f t="shared" si="19"/>
        <v>#DIV/0!</v>
      </c>
      <c r="M116" s="6">
        <f>VLOOKUP(A116,'Ingresos Proyecciones'!$A$11:$P$121,LOOKUP($O$190,'Ingresos Proyecciones'!$C$9:$P$9,'Ingresos Proyecciones'!$C$178:$P$178),FALSE)</f>
        <v>0</v>
      </c>
    </row>
    <row r="117" spans="1:13" hidden="1">
      <c r="A117" s="434" t="s">
        <v>1013</v>
      </c>
      <c r="B117" s="1107" t="s">
        <v>1014</v>
      </c>
      <c r="C117" s="887">
        <f>VLOOKUP(A117,'Ingresos Proyecciones'!$A$11:$P$121,LOOKUP($C$25,'Ingresos Proyecciones'!$C$9:$P$9,'Ingresos Proyecciones'!$C$178:$P$178),FALSE)</f>
        <v>0</v>
      </c>
      <c r="D117" s="6"/>
      <c r="E117" s="6">
        <f t="shared" si="22"/>
        <v>0</v>
      </c>
      <c r="F117" s="425">
        <f t="shared" si="23"/>
        <v>0</v>
      </c>
      <c r="G117" s="6"/>
      <c r="H117" s="6"/>
      <c r="I117" s="426" t="e">
        <f t="shared" si="18"/>
        <v>#DIV/0!</v>
      </c>
      <c r="J117" s="6"/>
      <c r="K117" s="426" t="e">
        <f t="shared" si="17"/>
        <v>#DIV/0!</v>
      </c>
      <c r="L117" s="426" t="e">
        <f t="shared" si="19"/>
        <v>#DIV/0!</v>
      </c>
      <c r="M117" s="6">
        <f>VLOOKUP(A117,'Ingresos Proyecciones'!$A$11:$P$121,LOOKUP($O$190,'Ingresos Proyecciones'!$C$9:$P$9,'Ingresos Proyecciones'!$C$178:$P$178),FALSE)</f>
        <v>0</v>
      </c>
    </row>
    <row r="118" spans="1:13" hidden="1">
      <c r="A118" s="434" t="s">
        <v>1015</v>
      </c>
      <c r="B118" s="1106" t="s">
        <v>1016</v>
      </c>
      <c r="C118" s="889">
        <f>VLOOKUP(A118,'Ingresos Proyecciones'!$A$11:$P$121,LOOKUP($C$25,'Ingresos Proyecciones'!$C$9:$P$9,'Ingresos Proyecciones'!$C$178:$P$178),FALSE)</f>
        <v>0</v>
      </c>
      <c r="D118" s="6"/>
      <c r="E118" s="6">
        <f t="shared" si="22"/>
        <v>0</v>
      </c>
      <c r="F118" s="44">
        <f t="shared" si="23"/>
        <v>0</v>
      </c>
      <c r="G118" s="6"/>
      <c r="H118" s="6"/>
      <c r="I118" s="427" t="e">
        <f t="shared" si="18"/>
        <v>#DIV/0!</v>
      </c>
      <c r="J118" s="6"/>
      <c r="K118" s="426" t="e">
        <f t="shared" si="17"/>
        <v>#DIV/0!</v>
      </c>
      <c r="L118" s="426" t="e">
        <f t="shared" si="19"/>
        <v>#DIV/0!</v>
      </c>
      <c r="M118" s="6">
        <f>VLOOKUP(A118,'Ingresos Proyecciones'!$A$11:$P$121,LOOKUP($O$190,'Ingresos Proyecciones'!$C$9:$P$9,'Ingresos Proyecciones'!$C$178:$P$178),FALSE)</f>
        <v>0</v>
      </c>
    </row>
    <row r="119" spans="1:13" hidden="1">
      <c r="A119" s="434" t="s">
        <v>1017</v>
      </c>
      <c r="B119" s="1106" t="s">
        <v>1018</v>
      </c>
      <c r="C119" s="887">
        <f>VLOOKUP(A119,'Ingresos Proyecciones'!$A$11:$P$121,LOOKUP($C$25,'Ingresos Proyecciones'!$C$9:$P$9,'Ingresos Proyecciones'!$C$178:$P$178),FALSE)</f>
        <v>0</v>
      </c>
      <c r="D119" s="6"/>
      <c r="E119" s="6">
        <f t="shared" si="22"/>
        <v>0</v>
      </c>
      <c r="F119" s="425">
        <f t="shared" si="23"/>
        <v>0</v>
      </c>
      <c r="G119" s="6"/>
      <c r="H119" s="6"/>
      <c r="I119" s="426" t="e">
        <f t="shared" si="18"/>
        <v>#DIV/0!</v>
      </c>
      <c r="J119" s="6"/>
      <c r="K119" s="426" t="e">
        <f t="shared" si="17"/>
        <v>#DIV/0!</v>
      </c>
      <c r="L119" s="426" t="e">
        <f t="shared" si="19"/>
        <v>#DIV/0!</v>
      </c>
      <c r="M119" s="6">
        <f>VLOOKUP(A119,'Ingresos Proyecciones'!$A$11:$P$121,LOOKUP($O$190,'Ingresos Proyecciones'!$C$9:$P$9,'Ingresos Proyecciones'!$C$178:$P$178),FALSE)</f>
        <v>0</v>
      </c>
    </row>
    <row r="120" spans="1:13" hidden="1">
      <c r="A120" s="434" t="s">
        <v>1019</v>
      </c>
      <c r="B120" s="1106" t="s">
        <v>1020</v>
      </c>
      <c r="C120" s="887">
        <f>VLOOKUP(A120,'Ingresos Proyecciones'!$A$11:$P$121,LOOKUP($C$25,'Ingresos Proyecciones'!$C$9:$P$9,'Ingresos Proyecciones'!$C$178:$P$178),FALSE)</f>
        <v>0</v>
      </c>
      <c r="D120" s="6"/>
      <c r="E120" s="6">
        <f t="shared" si="22"/>
        <v>0</v>
      </c>
      <c r="F120" s="425">
        <f t="shared" si="23"/>
        <v>0</v>
      </c>
      <c r="G120" s="6"/>
      <c r="H120" s="6"/>
      <c r="I120" s="426" t="e">
        <f t="shared" si="18"/>
        <v>#DIV/0!</v>
      </c>
      <c r="J120" s="6"/>
      <c r="K120" s="426" t="e">
        <f t="shared" si="17"/>
        <v>#DIV/0!</v>
      </c>
      <c r="L120" s="426" t="e">
        <f t="shared" si="19"/>
        <v>#DIV/0!</v>
      </c>
      <c r="M120" s="6">
        <f>VLOOKUP(A120,'Ingresos Proyecciones'!$A$11:$P$121,LOOKUP($O$190,'Ingresos Proyecciones'!$C$9:$P$9,'Ingresos Proyecciones'!$C$178:$P$178),FALSE)</f>
        <v>0</v>
      </c>
    </row>
    <row r="121" spans="1:13">
      <c r="A121" s="434" t="s">
        <v>1021</v>
      </c>
      <c r="B121" s="1106" t="s">
        <v>1022</v>
      </c>
      <c r="C121" s="887">
        <f>VLOOKUP(A121,'Ingresos Proyecciones'!$A$11:$P$121,LOOKUP($C$25,'Ingresos Proyecciones'!$C$9:$P$9,'Ingresos Proyecciones'!$C$178:$P$178),FALSE)</f>
        <v>1000</v>
      </c>
      <c r="D121" s="6">
        <v>0</v>
      </c>
      <c r="E121" s="6">
        <f t="shared" si="22"/>
        <v>1000</v>
      </c>
      <c r="F121" s="425">
        <f t="shared" si="23"/>
        <v>1000</v>
      </c>
      <c r="G121" s="6"/>
      <c r="H121" s="6">
        <v>0</v>
      </c>
      <c r="I121" s="426">
        <f t="shared" si="18"/>
        <v>0</v>
      </c>
      <c r="J121" s="6">
        <v>0</v>
      </c>
      <c r="K121" s="426">
        <v>1</v>
      </c>
      <c r="L121" s="426">
        <f t="shared" si="19"/>
        <v>0</v>
      </c>
      <c r="M121" s="6">
        <f>VLOOKUP(A121,'Ingresos Proyecciones'!$A$11:$P$121,LOOKUP($O$190,'Ingresos Proyecciones'!$C$9:$P$9,'Ingresos Proyecciones'!$C$178:$P$178),FALSE)</f>
        <v>1000</v>
      </c>
    </row>
    <row r="122" spans="1:13" hidden="1">
      <c r="A122" s="434" t="s">
        <v>1023</v>
      </c>
      <c r="B122" s="1106" t="s">
        <v>1024</v>
      </c>
      <c r="C122" s="887" t="e">
        <f>VLOOKUP(A122,'Ingresos Proyecciones'!$A$11:$P$121,LOOKUP($C$25,'Ingresos Proyecciones'!$C$9:$P$9,'Ingresos Proyecciones'!$C$178:$P$178),FALSE)</f>
        <v>#N/A</v>
      </c>
      <c r="D122" s="6"/>
      <c r="E122" s="6" t="e">
        <f t="shared" si="22"/>
        <v>#N/A</v>
      </c>
      <c r="F122" s="425" t="e">
        <f t="shared" si="23"/>
        <v>#N/A</v>
      </c>
      <c r="G122" s="6"/>
      <c r="H122" s="6"/>
      <c r="I122" s="426" t="e">
        <f t="shared" si="18"/>
        <v>#N/A</v>
      </c>
      <c r="J122" s="6"/>
      <c r="K122" s="426" t="e">
        <f t="shared" si="17"/>
        <v>#DIV/0!</v>
      </c>
      <c r="L122" s="426" t="e">
        <f t="shared" si="19"/>
        <v>#N/A</v>
      </c>
      <c r="M122" s="6" t="e">
        <f>VLOOKUP(A122,'Ingresos Proyecciones'!$A$11:$P$121,LOOKUP($O$190,'Ingresos Proyecciones'!$C$9:$P$9,'Ingresos Proyecciones'!$C$178:$P$178),FALSE)</f>
        <v>#N/A</v>
      </c>
    </row>
    <row r="123" spans="1:13">
      <c r="A123" s="434" t="s">
        <v>1025</v>
      </c>
      <c r="B123" s="1106" t="s">
        <v>1026</v>
      </c>
      <c r="C123" s="887">
        <f>VLOOKUP(A123,'Ingresos Proyecciones'!$A$11:$P$121,LOOKUP($C$25,'Ingresos Proyecciones'!$C$9:$P$9,'Ingresos Proyecciones'!$C$178:$P$178),FALSE)</f>
        <v>500</v>
      </c>
      <c r="D123" s="6">
        <v>0</v>
      </c>
      <c r="E123" s="6">
        <f t="shared" si="22"/>
        <v>500</v>
      </c>
      <c r="F123" s="425">
        <f t="shared" si="23"/>
        <v>500</v>
      </c>
      <c r="G123" s="6"/>
      <c r="H123" s="6"/>
      <c r="I123" s="426">
        <f t="shared" si="18"/>
        <v>0</v>
      </c>
      <c r="J123" s="6">
        <v>450</v>
      </c>
      <c r="K123" s="424">
        <f t="shared" ref="K123:K130" si="24">+(H123/J123)-1</f>
        <v>-1</v>
      </c>
      <c r="L123" s="426">
        <f t="shared" si="19"/>
        <v>0</v>
      </c>
      <c r="M123" s="6">
        <f>VLOOKUP(A123,'Ingresos Proyecciones'!$A$11:$P$121,LOOKUP($O$190,'Ingresos Proyecciones'!$C$9:$P$9,'Ingresos Proyecciones'!$C$178:$P$178),FALSE)</f>
        <v>500</v>
      </c>
    </row>
    <row r="124" spans="1:13" hidden="1">
      <c r="A124" s="434" t="s">
        <v>1027</v>
      </c>
      <c r="B124" s="440" t="s">
        <v>1028</v>
      </c>
      <c r="C124" s="887">
        <f>VLOOKUP(A124,'Ingresos Proyecciones'!$A$11:$P$121,LOOKUP($C$25,'Ingresos Proyecciones'!$C$9:$P$9,'Ingresos Proyecciones'!$C$178:$P$178),FALSE)</f>
        <v>0</v>
      </c>
      <c r="D124" s="6"/>
      <c r="E124" s="6">
        <f t="shared" si="22"/>
        <v>0</v>
      </c>
      <c r="F124" s="425">
        <f t="shared" si="23"/>
        <v>0</v>
      </c>
      <c r="G124" s="6"/>
      <c r="H124" s="6"/>
      <c r="I124" s="426" t="e">
        <f t="shared" si="18"/>
        <v>#DIV/0!</v>
      </c>
      <c r="J124" s="6"/>
      <c r="K124" s="426" t="e">
        <f t="shared" si="24"/>
        <v>#DIV/0!</v>
      </c>
      <c r="L124" s="426" t="e">
        <f t="shared" si="19"/>
        <v>#DIV/0!</v>
      </c>
      <c r="M124" s="6">
        <f>VLOOKUP(A124,'Ingresos Proyecciones'!$A$11:$P$121,LOOKUP($O$190,'Ingresos Proyecciones'!$C$9:$P$9,'Ingresos Proyecciones'!$C$178:$P$178),FALSE)</f>
        <v>0</v>
      </c>
    </row>
    <row r="125" spans="1:13" hidden="1">
      <c r="A125" s="434" t="s">
        <v>1029</v>
      </c>
      <c r="B125" s="440" t="s">
        <v>1030</v>
      </c>
      <c r="C125" s="888">
        <f>SUM(C126:C127)</f>
        <v>0</v>
      </c>
      <c r="D125" s="32">
        <f>SUM(D126:D127)</f>
        <v>0</v>
      </c>
      <c r="E125" s="32">
        <f>SUM(E126:E127)</f>
        <v>0</v>
      </c>
      <c r="F125" s="432">
        <f t="shared" ref="F125:F130" si="25">+E125-D125</f>
        <v>0</v>
      </c>
      <c r="G125" s="32">
        <f>SUM(G126:G127)</f>
        <v>0</v>
      </c>
      <c r="H125" s="32">
        <f>SUM(H126:H127)</f>
        <v>0</v>
      </c>
      <c r="I125" s="424" t="e">
        <f t="shared" ref="I125:I130" si="26">+H125/E125</f>
        <v>#DIV/0!</v>
      </c>
      <c r="J125" s="32">
        <f>SUM(J126:J127)</f>
        <v>0</v>
      </c>
      <c r="K125" s="424" t="e">
        <f t="shared" si="24"/>
        <v>#DIV/0!</v>
      </c>
      <c r="L125" s="424" t="e">
        <f t="shared" ref="L125:L130" si="27">+H125/C125</f>
        <v>#DIV/0!</v>
      </c>
      <c r="M125" s="32">
        <f>SUM(M126:M127)</f>
        <v>0</v>
      </c>
    </row>
    <row r="126" spans="1:13" hidden="1">
      <c r="A126" s="434" t="s">
        <v>1031</v>
      </c>
      <c r="B126" s="441" t="s">
        <v>1032</v>
      </c>
      <c r="C126" s="887">
        <f>VLOOKUP(A126,'Ingresos Proyecciones'!$A$11:$P$121,LOOKUP($C$25,'Ingresos Proyecciones'!$C$9:$P$9,'Ingresos Proyecciones'!$C$178:$P$178),FALSE)</f>
        <v>0</v>
      </c>
      <c r="D126" s="6"/>
      <c r="E126" s="6">
        <f>+C126</f>
        <v>0</v>
      </c>
      <c r="F126" s="425">
        <f t="shared" si="25"/>
        <v>0</v>
      </c>
      <c r="G126" s="6"/>
      <c r="H126" s="6"/>
      <c r="I126" s="426" t="e">
        <f t="shared" si="26"/>
        <v>#DIV/0!</v>
      </c>
      <c r="J126" s="6"/>
      <c r="K126" s="426" t="e">
        <f t="shared" si="24"/>
        <v>#DIV/0!</v>
      </c>
      <c r="L126" s="426" t="e">
        <f t="shared" si="27"/>
        <v>#DIV/0!</v>
      </c>
      <c r="M126" s="6">
        <f>VLOOKUP(A126,'Ingresos Proyecciones'!$A$11:$P$121,LOOKUP($O$190,'Ingresos Proyecciones'!$C$9:$P$9,'Ingresos Proyecciones'!$C$178:$P$178),FALSE)</f>
        <v>0</v>
      </c>
    </row>
    <row r="127" spans="1:13" hidden="1">
      <c r="A127" s="434" t="s">
        <v>1033</v>
      </c>
      <c r="B127" s="441" t="s">
        <v>1034</v>
      </c>
      <c r="C127" s="887">
        <f>VLOOKUP(A127,'Ingresos Proyecciones'!$A$11:$P$121,LOOKUP($C$25,'Ingresos Proyecciones'!$C$9:$P$9,'Ingresos Proyecciones'!$C$178:$P$178),FALSE)</f>
        <v>0</v>
      </c>
      <c r="D127" s="6"/>
      <c r="E127" s="6">
        <f>+C127</f>
        <v>0</v>
      </c>
      <c r="F127" s="425">
        <f t="shared" si="25"/>
        <v>0</v>
      </c>
      <c r="G127" s="6"/>
      <c r="H127" s="6"/>
      <c r="I127" s="426" t="e">
        <f t="shared" si="26"/>
        <v>#DIV/0!</v>
      </c>
      <c r="J127" s="6"/>
      <c r="K127" s="426" t="e">
        <f t="shared" si="24"/>
        <v>#DIV/0!</v>
      </c>
      <c r="L127" s="426" t="e">
        <f t="shared" si="27"/>
        <v>#DIV/0!</v>
      </c>
      <c r="M127" s="6">
        <f>VLOOKUP(A127,'Ingresos Proyecciones'!$A$11:$P$121,LOOKUP($O$190,'Ingresos Proyecciones'!$C$9:$P$9,'Ingresos Proyecciones'!$C$178:$P$178),FALSE)</f>
        <v>0</v>
      </c>
    </row>
    <row r="128" spans="1:13" hidden="1">
      <c r="A128" s="434" t="s">
        <v>1035</v>
      </c>
      <c r="B128" s="440" t="s">
        <v>1036</v>
      </c>
      <c r="C128" s="889">
        <f>VLOOKUP(A128,'Ingresos Proyecciones'!$A$11:$P$121,LOOKUP($C$25,'Ingresos Proyecciones'!$C$9:$P$9,'Ingresos Proyecciones'!$C$178:$P$178),FALSE)</f>
        <v>0</v>
      </c>
      <c r="D128" s="6"/>
      <c r="E128" s="6">
        <f>+C128</f>
        <v>0</v>
      </c>
      <c r="F128" s="425">
        <f t="shared" si="25"/>
        <v>0</v>
      </c>
      <c r="G128" s="6"/>
      <c r="H128" s="6"/>
      <c r="I128" s="426" t="e">
        <f t="shared" si="26"/>
        <v>#DIV/0!</v>
      </c>
      <c r="J128" s="6"/>
      <c r="K128" s="426" t="e">
        <f t="shared" si="24"/>
        <v>#DIV/0!</v>
      </c>
      <c r="L128" s="426" t="e">
        <f t="shared" si="27"/>
        <v>#DIV/0!</v>
      </c>
      <c r="M128" s="6">
        <f>VLOOKUP(A128,'Ingresos Proyecciones'!$A$11:$P$121,LOOKUP($O$190,'Ingresos Proyecciones'!$C$9:$P$9,'Ingresos Proyecciones'!$C$178:$P$178),FALSE)</f>
        <v>0</v>
      </c>
    </row>
    <row r="129" spans="1:13" hidden="1">
      <c r="A129" s="434" t="s">
        <v>1037</v>
      </c>
      <c r="B129" s="440" t="s">
        <v>1038</v>
      </c>
      <c r="C129" s="889">
        <f>VLOOKUP(A129,'Ingresos Proyecciones'!$A$11:$P$121,LOOKUP($C$25,'Ingresos Proyecciones'!$C$9:$P$9,'Ingresos Proyecciones'!$C$178:$P$178),FALSE)</f>
        <v>0</v>
      </c>
      <c r="D129" s="6"/>
      <c r="E129" s="6">
        <f>+C129</f>
        <v>0</v>
      </c>
      <c r="F129" s="425">
        <f t="shared" si="25"/>
        <v>0</v>
      </c>
      <c r="G129" s="6"/>
      <c r="H129" s="6"/>
      <c r="I129" s="426" t="e">
        <f t="shared" si="26"/>
        <v>#DIV/0!</v>
      </c>
      <c r="J129" s="6"/>
      <c r="K129" s="426" t="e">
        <f t="shared" si="24"/>
        <v>#DIV/0!</v>
      </c>
      <c r="L129" s="426" t="e">
        <f t="shared" si="27"/>
        <v>#DIV/0!</v>
      </c>
      <c r="M129" s="6">
        <f>VLOOKUP(A129,'Ingresos Proyecciones'!$A$11:$P$121,LOOKUP($O$190,'Ingresos Proyecciones'!$C$9:$P$9,'Ingresos Proyecciones'!$C$178:$P$178),FALSE)</f>
        <v>0</v>
      </c>
    </row>
    <row r="130" spans="1:13" ht="13.5" hidden="1" thickBot="1">
      <c r="A130" s="436" t="s">
        <v>1039</v>
      </c>
      <c r="B130" s="729" t="s">
        <v>1040</v>
      </c>
      <c r="C130" s="890">
        <f>VLOOKUP(A130,'Ingresos Proyecciones'!$A$11:$P$121,LOOKUP($C$25,'Ingresos Proyecciones'!$C$9:$P$9,'Ingresos Proyecciones'!$C$178:$P$178),FALSE)</f>
        <v>0</v>
      </c>
      <c r="D130" s="70"/>
      <c r="E130" s="6">
        <f>+C130</f>
        <v>0</v>
      </c>
      <c r="F130" s="46">
        <f t="shared" si="25"/>
        <v>0</v>
      </c>
      <c r="G130" s="70"/>
      <c r="H130" s="70"/>
      <c r="I130" s="428" t="e">
        <f t="shared" si="26"/>
        <v>#DIV/0!</v>
      </c>
      <c r="J130" s="70"/>
      <c r="K130" s="428" t="e">
        <f t="shared" si="24"/>
        <v>#DIV/0!</v>
      </c>
      <c r="L130" s="428" t="e">
        <f t="shared" si="27"/>
        <v>#DIV/0!</v>
      </c>
      <c r="M130" s="70">
        <f>VLOOKUP(A130,'Ingresos Proyecciones'!$A$11:$P$121,LOOKUP($O$190,'Ingresos Proyecciones'!$C$9:$P$9,'Ingresos Proyecciones'!$C$178:$P$178),FALSE)</f>
        <v>0</v>
      </c>
    </row>
    <row r="132" spans="1:13" ht="15">
      <c r="A132" s="10"/>
    </row>
    <row r="133" spans="1:13">
      <c r="B133" s="429"/>
      <c r="C133" s="429"/>
      <c r="D133" s="429"/>
      <c r="E133" s="429"/>
    </row>
    <row r="134" spans="1:13">
      <c r="A134" s="429"/>
      <c r="B134" s="429"/>
      <c r="C134" s="429"/>
      <c r="D134" s="429"/>
      <c r="E134" s="429"/>
    </row>
    <row r="135" spans="1:13">
      <c r="A135" s="429"/>
      <c r="B135" s="429"/>
      <c r="C135" s="429"/>
      <c r="D135" s="429"/>
      <c r="E135" s="429"/>
    </row>
    <row r="178" spans="1:15">
      <c r="A178" s="882" t="s">
        <v>725</v>
      </c>
      <c r="B178" s="713"/>
    </row>
    <row r="179" spans="1:15" hidden="1">
      <c r="A179" s="713"/>
      <c r="B179" s="713"/>
      <c r="C179" s="9">
        <v>0</v>
      </c>
    </row>
    <row r="180" spans="1:15" hidden="1">
      <c r="A180" s="713"/>
      <c r="B180" s="713"/>
      <c r="C180" s="9">
        <v>1</v>
      </c>
    </row>
    <row r="181" spans="1:15" hidden="1">
      <c r="A181" s="713"/>
      <c r="B181" s="940" t="s">
        <v>1041</v>
      </c>
      <c r="C181" s="9">
        <v>2</v>
      </c>
    </row>
    <row r="182" spans="1:15" hidden="1">
      <c r="A182" s="713"/>
      <c r="B182" s="836" t="str">
        <f>$B$8&amp;" "&amp;"SUPERAVIT O AHORRO PRIMARIO"&amp;" " &amp;$B$10</f>
        <v>MUNICIPIO DE LA VEGA SUPERAVIT O AHORRO PRIMARIO 2005</v>
      </c>
      <c r="C182" s="9">
        <v>3</v>
      </c>
    </row>
    <row r="183" spans="1:15" hidden="1">
      <c r="A183" s="713"/>
      <c r="B183" s="836" t="str">
        <f>$B$8&amp;" "&amp; "DEFICIT O AHORRO CORRIENTE"&amp;" " &amp;$B$10</f>
        <v>MUNICIPIO DE LA VEGA DEFICIT O AHORRO CORRIENTE 2005</v>
      </c>
      <c r="C183" s="9">
        <v>4</v>
      </c>
    </row>
    <row r="184" spans="1:15" hidden="1">
      <c r="A184" s="713">
        <v>0</v>
      </c>
      <c r="B184" s="836" t="str">
        <f>$B$8&amp;" "&amp; "DEFICIT O AHORRO TOTAL"&amp;" " &amp;$B$10</f>
        <v>MUNICIPIO DE LA VEGA DEFICIT O AHORRO TOTAL 2005</v>
      </c>
      <c r="C184" s="9">
        <v>5</v>
      </c>
    </row>
    <row r="185" spans="1:15" hidden="1">
      <c r="A185" s="713">
        <v>1</v>
      </c>
      <c r="B185" s="836" t="str">
        <f>$B$8&amp;" "&amp; "COMPOSICION INGRESOS TRIBUTARIOS" &amp;" "&amp; $B$10</f>
        <v>MUNICIPIO DE LA VEGA COMPOSICION INGRESOS TRIBUTARIOS 2005</v>
      </c>
      <c r="C185" s="9">
        <v>6</v>
      </c>
    </row>
    <row r="186" spans="1:15" hidden="1">
      <c r="A186" s="713">
        <v>2</v>
      </c>
      <c r="B186" s="836" t="str">
        <f>$B$8&amp;" "&amp;  "COMPOSICION GASTOS DE FUNCIONAMIENTO"&amp;" " &amp;$B$10</f>
        <v>MUNICIPIO DE LA VEGA COMPOSICION GASTOS DE FUNCIONAMIENTO 2005</v>
      </c>
      <c r="C186" s="9">
        <v>7</v>
      </c>
      <c r="D186" s="422"/>
      <c r="E186" s="422"/>
      <c r="F186" s="422"/>
      <c r="G186" s="422"/>
      <c r="H186" s="422"/>
      <c r="I186" s="422"/>
      <c r="J186" s="422"/>
      <c r="K186" s="422"/>
      <c r="L186" s="422"/>
      <c r="M186" s="422"/>
    </row>
    <row r="187" spans="1:15" hidden="1">
      <c r="A187" s="713">
        <v>3</v>
      </c>
      <c r="B187" s="836" t="str">
        <f>$B$8&amp;" "&amp; "COMPOSICION DE INGRESOS"&amp;" "&amp;$B$10</f>
        <v>MUNICIPIO DE LA VEGA COMPOSICION DE INGRESOS 2005</v>
      </c>
      <c r="C187" s="9">
        <v>8</v>
      </c>
      <c r="D187" s="422"/>
      <c r="E187" s="422"/>
      <c r="F187" s="422"/>
      <c r="G187" s="422"/>
      <c r="H187" s="422"/>
      <c r="I187" s="422"/>
      <c r="J187" s="422"/>
      <c r="K187" s="422"/>
      <c r="L187" s="422"/>
      <c r="M187" s="422"/>
    </row>
    <row r="188" spans="1:15" hidden="1">
      <c r="A188" s="713">
        <v>4</v>
      </c>
      <c r="B188" s="836" t="str">
        <f>$B$8&amp;" "&amp; "COMPOSICION DE GASTOS"&amp;" "&amp;$B$10</f>
        <v>MUNICIPIO DE LA VEGA COMPOSICION DE GASTOS 2005</v>
      </c>
      <c r="C188" s="9">
        <v>9</v>
      </c>
      <c r="D188" s="422"/>
      <c r="E188" s="422"/>
      <c r="F188" s="422"/>
      <c r="G188" s="422"/>
      <c r="H188" s="422"/>
      <c r="I188" s="422"/>
      <c r="J188" s="422"/>
      <c r="K188" s="422"/>
      <c r="L188" s="422"/>
      <c r="M188" s="422"/>
    </row>
    <row r="189" spans="1:15" ht="13.5" hidden="1" thickBot="1">
      <c r="A189" s="713">
        <v>5</v>
      </c>
      <c r="B189" s="836" t="str">
        <f>$B$8&amp;" "&amp; "COMPOSICION DE TRANSFERENCIAS"&amp;" "&amp;$B$10</f>
        <v>MUNICIPIO DE LA VEGA COMPOSICION DE TRANSFERENCIAS 2005</v>
      </c>
      <c r="C189" s="9">
        <v>10</v>
      </c>
      <c r="D189" s="422"/>
      <c r="E189" s="422"/>
      <c r="F189" s="422" t="s">
        <v>1042</v>
      </c>
      <c r="G189" s="422" t="s">
        <v>1043</v>
      </c>
      <c r="H189" s="422" t="s">
        <v>1044</v>
      </c>
      <c r="I189" s="422" t="s">
        <v>1045</v>
      </c>
      <c r="J189" s="422" t="s">
        <v>1046</v>
      </c>
      <c r="K189" s="422" t="s">
        <v>1047</v>
      </c>
      <c r="L189" s="422" t="s">
        <v>1048</v>
      </c>
      <c r="M189" s="422" t="s">
        <v>1049</v>
      </c>
      <c r="N189" s="422" t="s">
        <v>1050</v>
      </c>
    </row>
    <row r="190" spans="1:15" ht="39" hidden="1" thickBot="1">
      <c r="A190" s="713">
        <v>6</v>
      </c>
      <c r="B190" s="713" t="s">
        <v>1051</v>
      </c>
      <c r="C190" s="9">
        <v>11</v>
      </c>
      <c r="D190" s="422"/>
      <c r="E190" s="422"/>
      <c r="F190" s="422">
        <f>IF(UPPER(B17)="X",1,0)+IF(UPPER(B18)="X",2,0)+IF(UPPER(B19)="X",3,0)</f>
        <v>1</v>
      </c>
      <c r="G190" s="430">
        <f>IF(E10=0,DATE(B10,12,31),IF(E10=2,DATE(B10,E10,28),IF(OR(E10=1,E10=3,E10=5,E10=7,E10=8,E10=10,E10=12),DATE(B10,E10,31),DATE(B10,E10,30))))</f>
        <v>38717</v>
      </c>
      <c r="H190" s="422">
        <f>B12</f>
        <v>6</v>
      </c>
      <c r="I190" s="422">
        <f>IF(UPPER(D21)="X",1,0)</f>
        <v>1</v>
      </c>
      <c r="J190" s="430">
        <f>I21</f>
        <v>37257</v>
      </c>
      <c r="K190" s="430">
        <f>I22</f>
        <v>42735</v>
      </c>
      <c r="L190" s="696" t="s">
        <v>1052</v>
      </c>
      <c r="M190" s="696"/>
      <c r="N190" s="696"/>
      <c r="O190" s="975" t="str">
        <f>"Escenario Financiero Año"&amp;" "&amp;(Ingresos!$B$10)</f>
        <v>Escenario Financiero Año 2005</v>
      </c>
    </row>
    <row r="191" spans="1:15" hidden="1">
      <c r="A191" s="713">
        <f ca="1">YEAR(NOW())-7</f>
        <v>2005</v>
      </c>
      <c r="B191" s="713" t="s">
        <v>1053</v>
      </c>
      <c r="C191" s="9">
        <v>12</v>
      </c>
      <c r="D191" s="422"/>
      <c r="E191" s="422"/>
      <c r="F191" s="422"/>
      <c r="G191" s="422"/>
      <c r="H191" s="422"/>
      <c r="I191" s="422"/>
      <c r="J191" s="422"/>
      <c r="K191" s="422"/>
      <c r="L191" s="422"/>
      <c r="M191" s="422"/>
    </row>
    <row r="192" spans="1:15" hidden="1">
      <c r="A192" s="713">
        <f ca="1">YEAR(NOW())-6</f>
        <v>2006</v>
      </c>
      <c r="B192" s="713"/>
      <c r="C192" s="422"/>
      <c r="D192" s="422"/>
      <c r="E192" s="422"/>
      <c r="F192" s="422"/>
      <c r="I192" s="422"/>
      <c r="J192" s="422"/>
      <c r="K192" s="422"/>
      <c r="L192" s="422"/>
      <c r="M192" s="422"/>
    </row>
    <row r="193" spans="1:13" hidden="1">
      <c r="A193" s="713">
        <f ca="1">YEAR(NOW())-5</f>
        <v>2007</v>
      </c>
      <c r="B193" s="713"/>
      <c r="C193" s="422"/>
      <c r="D193" s="422"/>
      <c r="E193" s="422"/>
      <c r="F193" s="422"/>
      <c r="I193" s="422"/>
      <c r="J193" s="422"/>
      <c r="K193" s="422"/>
      <c r="L193" s="422"/>
      <c r="M193" s="422"/>
    </row>
    <row r="194" spans="1:13" hidden="1">
      <c r="A194" s="713">
        <f ca="1">YEAR(NOW())-4</f>
        <v>2008</v>
      </c>
      <c r="B194" s="910" t="b">
        <f>+IF(AND(B10=""),"SELECCIONE AÑO EN B10",(YEAR(I21)&lt;B10))</f>
        <v>1</v>
      </c>
      <c r="C194" s="422"/>
      <c r="D194" s="422"/>
      <c r="E194" s="422"/>
      <c r="F194" s="422"/>
      <c r="G194" s="422"/>
      <c r="H194" s="422"/>
      <c r="I194" s="422"/>
      <c r="J194" s="422"/>
      <c r="K194" s="422"/>
      <c r="L194" s="422"/>
      <c r="M194" s="422"/>
    </row>
    <row r="195" spans="1:13" hidden="1">
      <c r="A195" s="713">
        <f ca="1">YEAR(NOW())-3</f>
        <v>2009</v>
      </c>
      <c r="B195" s="713"/>
      <c r="C195" s="422"/>
      <c r="D195" s="422"/>
      <c r="E195" s="422"/>
      <c r="F195" s="422"/>
      <c r="G195" s="422"/>
      <c r="H195" s="422"/>
      <c r="I195" s="422"/>
      <c r="J195" s="422"/>
      <c r="K195" s="422"/>
      <c r="L195" s="422"/>
      <c r="M195" s="422"/>
    </row>
    <row r="196" spans="1:13" hidden="1">
      <c r="A196" s="713">
        <f ca="1">YEAR(NOW())-2</f>
        <v>2010</v>
      </c>
      <c r="B196" s="713"/>
      <c r="C196" s="422"/>
      <c r="D196" s="422"/>
      <c r="E196" s="422"/>
      <c r="F196" s="422"/>
      <c r="G196" s="422"/>
      <c r="H196" s="422"/>
      <c r="I196" s="422"/>
      <c r="J196" s="422"/>
      <c r="K196" s="422"/>
      <c r="L196" s="422"/>
      <c r="M196" s="422"/>
    </row>
    <row r="197" spans="1:13" hidden="1">
      <c r="A197" s="713">
        <f ca="1">YEAR(NOW())-1</f>
        <v>2011</v>
      </c>
      <c r="B197" s="713"/>
      <c r="C197" s="422"/>
      <c r="D197" s="422"/>
      <c r="E197" s="422"/>
      <c r="F197" s="422"/>
      <c r="G197" s="422"/>
      <c r="H197" s="422"/>
      <c r="I197" s="422"/>
      <c r="J197" s="422"/>
      <c r="K197" s="422"/>
      <c r="L197" s="422"/>
      <c r="M197" s="422"/>
    </row>
    <row r="198" spans="1:13" hidden="1">
      <c r="A198" s="713">
        <f ca="1">YEAR(NOW())-0</f>
        <v>2012</v>
      </c>
      <c r="B198" s="713"/>
      <c r="C198" s="422"/>
      <c r="D198" s="422"/>
      <c r="E198" s="422"/>
      <c r="F198" s="422"/>
      <c r="G198" s="422"/>
      <c r="H198" s="422"/>
      <c r="I198" s="422"/>
      <c r="J198" s="422"/>
      <c r="K198" s="422"/>
      <c r="L198" s="422"/>
      <c r="M198" s="422"/>
    </row>
    <row r="199" spans="1:13" hidden="1">
      <c r="A199" s="713">
        <f ca="1">YEAR(NOW())+1</f>
        <v>2013</v>
      </c>
      <c r="B199" s="713"/>
      <c r="C199" s="422"/>
      <c r="D199" s="422"/>
      <c r="E199" s="422"/>
      <c r="F199" s="422"/>
      <c r="G199" s="422"/>
      <c r="H199" s="422"/>
      <c r="I199" s="422"/>
      <c r="J199" s="422"/>
      <c r="K199" s="422"/>
      <c r="L199" s="422"/>
      <c r="M199" s="422"/>
    </row>
    <row r="200" spans="1:13" hidden="1">
      <c r="A200" s="713">
        <f ca="1">YEAR(NOW())+2</f>
        <v>2014</v>
      </c>
      <c r="B200" s="713"/>
      <c r="C200" s="422"/>
      <c r="D200" s="422"/>
      <c r="E200" s="422"/>
      <c r="F200" s="422"/>
      <c r="G200" s="422"/>
      <c r="H200" s="422"/>
      <c r="I200" s="422"/>
      <c r="J200" s="422"/>
      <c r="K200" s="422"/>
      <c r="L200" s="422"/>
      <c r="M200" s="422"/>
    </row>
    <row r="201" spans="1:13" hidden="1">
      <c r="A201" s="713">
        <f ca="1">YEAR(NOW())+3</f>
        <v>2015</v>
      </c>
      <c r="B201" s="713"/>
      <c r="C201" s="422"/>
      <c r="D201" s="422"/>
      <c r="E201" s="422"/>
      <c r="F201" s="422"/>
      <c r="G201" s="422"/>
      <c r="H201" s="422"/>
      <c r="I201" s="422"/>
      <c r="J201" s="422"/>
      <c r="K201" s="422"/>
      <c r="L201" s="422"/>
      <c r="M201" s="422"/>
    </row>
    <row r="202" spans="1:13" hidden="1">
      <c r="A202" s="713">
        <f ca="1">YEAR(NOW())+4</f>
        <v>2016</v>
      </c>
      <c r="B202" s="713"/>
      <c r="C202" s="422"/>
      <c r="D202" s="422"/>
      <c r="E202" s="422"/>
      <c r="F202" s="422"/>
      <c r="G202" s="422"/>
      <c r="H202" s="422"/>
      <c r="I202" s="422"/>
      <c r="J202" s="422"/>
      <c r="K202" s="422"/>
      <c r="L202" s="422"/>
      <c r="M202" s="422"/>
    </row>
    <row r="203" spans="1:13" hidden="1">
      <c r="A203" s="713">
        <f ca="1">YEAR(NOW())+5</f>
        <v>2017</v>
      </c>
      <c r="B203" s="713"/>
      <c r="C203" s="422"/>
      <c r="D203" s="422"/>
      <c r="E203" s="422"/>
      <c r="F203" s="422"/>
      <c r="G203" s="422"/>
      <c r="H203" s="422"/>
      <c r="I203" s="422"/>
      <c r="J203" s="422"/>
      <c r="K203" s="422"/>
      <c r="L203" s="422"/>
      <c r="M203" s="422"/>
    </row>
    <row r="204" spans="1:13" hidden="1">
      <c r="A204" s="713">
        <f ca="1">YEAR(NOW())+6</f>
        <v>2018</v>
      </c>
      <c r="B204" s="713"/>
      <c r="C204" s="422"/>
      <c r="D204" s="422"/>
      <c r="E204" s="422"/>
      <c r="F204" s="422"/>
      <c r="G204" s="422"/>
      <c r="H204" s="422"/>
      <c r="I204" s="422"/>
      <c r="J204" s="422"/>
      <c r="K204" s="422"/>
      <c r="L204" s="422"/>
      <c r="M204" s="422"/>
    </row>
    <row r="205" spans="1:13" hidden="1">
      <c r="A205" s="713">
        <f ca="1">YEAR(NOW())+7</f>
        <v>2019</v>
      </c>
      <c r="B205" s="713"/>
      <c r="C205" s="422"/>
      <c r="D205" s="422"/>
      <c r="E205" s="422"/>
      <c r="F205" s="422"/>
      <c r="G205" s="422"/>
      <c r="H205" s="422"/>
      <c r="I205" s="422"/>
      <c r="J205" s="422"/>
      <c r="K205" s="422"/>
      <c r="L205" s="422"/>
      <c r="M205" s="422"/>
    </row>
    <row r="206" spans="1:13" hidden="1">
      <c r="A206" s="713">
        <f ca="1">YEAR(NOW())+8</f>
        <v>2020</v>
      </c>
      <c r="B206" s="713"/>
    </row>
    <row r="207" spans="1:13" hidden="1">
      <c r="A207" s="713">
        <f ca="1">YEAR(NOW())+9</f>
        <v>2021</v>
      </c>
      <c r="B207" s="713"/>
    </row>
    <row r="208" spans="1:13" hidden="1">
      <c r="A208" s="713">
        <f ca="1">+A207+1</f>
        <v>2022</v>
      </c>
      <c r="B208" s="713"/>
    </row>
    <row r="209" spans="1:2" hidden="1">
      <c r="A209" s="713">
        <f t="shared" ref="A209:A217" ca="1" si="28">+A208+1</f>
        <v>2023</v>
      </c>
      <c r="B209" s="713"/>
    </row>
    <row r="210" spans="1:2" hidden="1">
      <c r="A210" s="713">
        <f t="shared" ca="1" si="28"/>
        <v>2024</v>
      </c>
      <c r="B210" s="713"/>
    </row>
    <row r="211" spans="1:2" hidden="1">
      <c r="A211" s="713">
        <f t="shared" ca="1" si="28"/>
        <v>2025</v>
      </c>
      <c r="B211" s="713"/>
    </row>
    <row r="212" spans="1:2" hidden="1">
      <c r="A212" s="713">
        <f t="shared" ca="1" si="28"/>
        <v>2026</v>
      </c>
      <c r="B212" s="713"/>
    </row>
    <row r="213" spans="1:2" hidden="1">
      <c r="A213" s="713">
        <f t="shared" ca="1" si="28"/>
        <v>2027</v>
      </c>
      <c r="B213" s="713"/>
    </row>
    <row r="214" spans="1:2" hidden="1">
      <c r="A214" s="713">
        <f t="shared" ca="1" si="28"/>
        <v>2028</v>
      </c>
      <c r="B214" s="713"/>
    </row>
    <row r="215" spans="1:2" hidden="1">
      <c r="A215" s="713">
        <f t="shared" ca="1" si="28"/>
        <v>2029</v>
      </c>
      <c r="B215" s="713"/>
    </row>
    <row r="216" spans="1:2" hidden="1">
      <c r="A216" s="713">
        <f t="shared" ca="1" si="28"/>
        <v>2030</v>
      </c>
      <c r="B216" s="713"/>
    </row>
    <row r="217" spans="1:2" hidden="1">
      <c r="A217" s="713">
        <f t="shared" ca="1" si="28"/>
        <v>2031</v>
      </c>
      <c r="B217" s="713"/>
    </row>
    <row r="218" spans="1:2">
      <c r="A218" s="713"/>
      <c r="B218" s="713"/>
    </row>
  </sheetData>
  <mergeCells count="1">
    <mergeCell ref="B14:C14"/>
  </mergeCells>
  <phoneticPr fontId="33" type="noConversion"/>
  <dataValidations count="7">
    <dataValidation type="list" errorStyle="warning" allowBlank="1" showInputMessage="1" showErrorMessage="1" errorTitle="Entrada de Datos" error="Debe escoger un valor entre 0 y 4" sqref="E10">
      <formula1>$C$179:$C$191</formula1>
    </dataValidation>
    <dataValidation type="list" errorStyle="warning" allowBlank="1" showInputMessage="1" showErrorMessage="1" errorTitle="Error en la entrada" error="Debe seleccionar el año de la lista" sqref="B10">
      <formula1>$A191:$A217</formula1>
    </dataValidation>
    <dataValidation type="list" allowBlank="1" showInputMessage="1" showErrorMessage="1" sqref="B12">
      <formula1>$A$184:$A$190</formula1>
    </dataValidation>
    <dataValidation type="list" allowBlank="1" showInputMessage="1" showErrorMessage="1" sqref="D22">
      <formula1>$B$190:$B$191</formula1>
    </dataValidation>
    <dataValidation type="list" allowBlank="1" showInputMessage="1" showErrorMessage="1" sqref="I17">
      <formula1>$A$191:$A$217</formula1>
    </dataValidation>
    <dataValidation type="custom" operator="lessThan" allowBlank="1" showInputMessage="1" showErrorMessage="1" errorTitle="AÑO NO VALIDO" error="EL AÑO DEBE SER MENOR AL QUE SE ESCOGIO EN LA CELDA B10....INDIQUE COMO MINIMO EL AÑO ANTERIOR_x000a_" promptTitle="TENGA EN CUENTA QUE" prompt="PRIMERO DEBE ESCOGER UN AÑO EN LA CELDA B10 Y LUEGO EN ESTA CELDA EL AÑO DEBE SER MENOR AL QUE SE ESCOGIO EN LA CELDA B10... COMO MINIMO DEBE SER EL AÑO ANTERIOR." sqref="I21">
      <formula1>$B$194</formula1>
    </dataValidation>
    <dataValidation allowBlank="1" showInputMessage="1" showErrorMessage="1" promptTitle="TENGA EN CUENTA" prompt="ESTA INFORMACION SE DEBE DIGITAR EN LA HOJA INGRESOS PROYECCIONES, EN LA COLUMNA DEL AÑO ANTERIOR AL QUE SELECCIONO EN LA CELDA B10" sqref="M25"/>
  </dataValidations>
  <printOptions horizontalCentered="1" verticalCentered="1" gridLines="1"/>
  <pageMargins left="0.19685039370078741" right="0.19685039370078741" top="0.31496062992125984" bottom="0.35433070866141736" header="0" footer="0"/>
  <pageSetup scale="65" fitToWidth="4" fitToHeight="2" orientation="landscape" horizontalDpi="120" verticalDpi="144" r:id="rId1"/>
  <headerFooter alignWithMargins="0">
    <oddHeader>&amp;C&amp;"Arial,Negrita"&amp;12&amp;F</oddHeader>
    <oddFooter>&amp;L&amp;"Arial,Negrita"&amp;F  &amp;A&amp;R&amp;"Arial,Negrita"Página &amp;P de &amp;N</oddFooter>
  </headerFooter>
  <cellWatches>
    <cellWatch r="B12"/>
  </cellWatches>
  <legacyDrawing r:id="rId2"/>
</worksheet>
</file>

<file path=xl/worksheets/sheet16.xml><?xml version="1.0" encoding="utf-8"?>
<worksheet xmlns="http://schemas.openxmlformats.org/spreadsheetml/2006/main" xmlns:r="http://schemas.openxmlformats.org/officeDocument/2006/relationships">
  <sheetPr codeName="Hoja2"/>
  <dimension ref="A1:P267"/>
  <sheetViews>
    <sheetView topLeftCell="C2" zoomScale="80" zoomScaleNormal="80" zoomScaleSheetLayoutView="75" workbookViewId="0">
      <pane xSplit="1" ySplit="25" topLeftCell="D27" activePane="bottomRight" state="frozen"/>
      <selection activeCell="B10" sqref="B10"/>
      <selection pane="topRight" activeCell="B10" sqref="B10"/>
      <selection pane="bottomLeft" activeCell="B10" sqref="B10"/>
      <selection pane="bottomRight" activeCell="B10" sqref="B10"/>
    </sheetView>
  </sheetViews>
  <sheetFormatPr baseColWidth="10" defaultRowHeight="12.75"/>
  <cols>
    <col min="1" max="1" width="11.85546875" style="1" customWidth="1"/>
    <col min="2" max="2" width="3.5703125" style="5" customWidth="1"/>
    <col min="3" max="3" width="48.28515625" style="1" customWidth="1"/>
    <col min="4" max="4" width="16.28515625" style="1" customWidth="1"/>
    <col min="5" max="5" width="15.7109375" style="9" customWidth="1"/>
    <col min="6" max="6" width="15.7109375" style="1" hidden="1" customWidth="1"/>
    <col min="7" max="7" width="15.7109375" style="1" customWidth="1"/>
    <col min="8" max="9" width="15.7109375" style="9" customWidth="1"/>
    <col min="10" max="10" width="16.28515625" style="9" customWidth="1"/>
    <col min="11" max="11" width="14.28515625" style="9" customWidth="1"/>
    <col min="12" max="12" width="15.28515625" style="1" customWidth="1"/>
    <col min="13" max="13" width="15.7109375" style="1" customWidth="1"/>
    <col min="14" max="14" width="14.140625" style="1" customWidth="1"/>
    <col min="15" max="15" width="14" style="37" customWidth="1"/>
    <col min="16" max="16" width="15.7109375" style="1" customWidth="1"/>
    <col min="17" max="16384" width="11.42578125" style="1"/>
  </cols>
  <sheetData>
    <row r="1" spans="1:15" s="375" customFormat="1" ht="12.75" customHeight="1">
      <c r="A1" s="443" t="s">
        <v>780</v>
      </c>
      <c r="B1" s="443"/>
      <c r="C1" s="443"/>
      <c r="D1" s="443"/>
      <c r="E1" s="443"/>
      <c r="O1" s="444"/>
    </row>
    <row r="2" spans="1:15" s="375" customFormat="1" ht="12.75" customHeight="1">
      <c r="A2" s="443" t="s">
        <v>781</v>
      </c>
      <c r="B2" s="443"/>
      <c r="C2" s="443"/>
      <c r="D2" s="443"/>
      <c r="E2" s="443"/>
      <c r="O2" s="444"/>
    </row>
    <row r="3" spans="1:15" s="375" customFormat="1" ht="3.75" customHeight="1">
      <c r="A3" s="386"/>
      <c r="B3" s="386"/>
      <c r="C3" s="386"/>
      <c r="O3" s="444"/>
    </row>
    <row r="4" spans="1:15" s="375" customFormat="1" ht="3.75" customHeight="1" thickBot="1">
      <c r="A4" s="387"/>
      <c r="B4" s="387"/>
      <c r="C4" s="387"/>
      <c r="O4" s="444"/>
    </row>
    <row r="5" spans="1:15" s="375" customFormat="1" ht="13.5" hidden="1" thickBot="1">
      <c r="A5" s="445" t="s">
        <v>782</v>
      </c>
      <c r="B5" s="446"/>
      <c r="C5" s="732">
        <f>Ingresos!B6</f>
        <v>0</v>
      </c>
      <c r="O5" s="444"/>
    </row>
    <row r="6" spans="1:15" s="375" customFormat="1">
      <c r="A6" s="445" t="s">
        <v>1054</v>
      </c>
      <c r="B6" s="446"/>
      <c r="C6" s="732" t="str">
        <f>Ingresos!B8</f>
        <v>MUNICIPIO DE LA VEGA</v>
      </c>
      <c r="D6" s="448"/>
      <c r="O6" s="444"/>
    </row>
    <row r="7" spans="1:15" s="375" customFormat="1">
      <c r="A7" s="447" t="s">
        <v>784</v>
      </c>
      <c r="B7" s="388"/>
      <c r="C7" s="730">
        <f>Ingresos!B10</f>
        <v>2005</v>
      </c>
      <c r="D7" s="382"/>
      <c r="O7" s="444"/>
    </row>
    <row r="8" spans="1:15" s="375" customFormat="1" ht="13.5" thickBot="1">
      <c r="A8" s="449" t="s">
        <v>786</v>
      </c>
      <c r="B8" s="450"/>
      <c r="C8" s="731">
        <f>Ingresos!B12</f>
        <v>6</v>
      </c>
      <c r="O8" s="444"/>
    </row>
    <row r="9" spans="1:15" s="375" customFormat="1" ht="13.5" hidden="1" thickBot="1">
      <c r="A9" s="449" t="s">
        <v>787</v>
      </c>
      <c r="B9" s="450"/>
      <c r="C9" s="731">
        <f>Ingresos!B14</f>
        <v>0</v>
      </c>
      <c r="O9" s="444"/>
    </row>
    <row r="10" spans="1:15" s="375" customFormat="1" ht="4.5" hidden="1" customHeight="1">
      <c r="A10" s="387"/>
      <c r="B10" s="387"/>
      <c r="C10" s="387"/>
      <c r="O10" s="444"/>
    </row>
    <row r="11" spans="1:15" s="375" customFormat="1" hidden="1">
      <c r="A11" s="388" t="s">
        <v>1055</v>
      </c>
      <c r="B11" s="388"/>
      <c r="C11" s="388"/>
      <c r="D11" s="388"/>
      <c r="O11" s="444"/>
    </row>
    <row r="12" spans="1:15" s="375" customFormat="1" ht="3.75" hidden="1" customHeight="1" thickBot="1">
      <c r="A12" s="387"/>
      <c r="B12" s="387"/>
      <c r="C12" s="387"/>
      <c r="D12" s="451"/>
      <c r="O12" s="444"/>
    </row>
    <row r="13" spans="1:15" s="375" customFormat="1" hidden="1">
      <c r="A13" s="445" t="s">
        <v>789</v>
      </c>
      <c r="B13" s="446"/>
      <c r="C13" s="732" t="str">
        <f>Ingresos!B17</f>
        <v>X</v>
      </c>
      <c r="D13" s="378"/>
      <c r="O13" s="444"/>
    </row>
    <row r="14" spans="1:15" s="375" customFormat="1" hidden="1">
      <c r="A14" s="447" t="s">
        <v>790</v>
      </c>
      <c r="B14" s="388"/>
      <c r="C14" s="730">
        <f>Ingresos!B18</f>
        <v>0</v>
      </c>
      <c r="D14" s="378"/>
      <c r="O14" s="444"/>
    </row>
    <row r="15" spans="1:15" s="375" customFormat="1" ht="13.5" hidden="1" thickBot="1">
      <c r="A15" s="449" t="s">
        <v>791</v>
      </c>
      <c r="B15" s="450"/>
      <c r="C15" s="731">
        <f>Ingresos!B19</f>
        <v>0</v>
      </c>
      <c r="D15" s="378"/>
      <c r="O15" s="444"/>
    </row>
    <row r="16" spans="1:15" s="375" customFormat="1" ht="4.5" hidden="1" customHeight="1">
      <c r="A16" s="387"/>
      <c r="B16" s="387"/>
      <c r="C16" s="387"/>
      <c r="D16" s="378"/>
      <c r="O16" s="444"/>
    </row>
    <row r="17" spans="1:16" s="375" customFormat="1" hidden="1">
      <c r="A17" s="388" t="s">
        <v>1056</v>
      </c>
      <c r="B17" s="388"/>
      <c r="C17" s="388"/>
      <c r="D17" s="382"/>
      <c r="E17" s="382"/>
      <c r="F17" s="378"/>
      <c r="G17" s="378"/>
      <c r="H17" s="378"/>
      <c r="I17" s="378"/>
      <c r="J17" s="378"/>
      <c r="K17" s="378"/>
      <c r="O17" s="444"/>
    </row>
    <row r="18" spans="1:16" s="375" customFormat="1" ht="1.5" customHeight="1">
      <c r="A18" s="387"/>
      <c r="B18" s="387"/>
      <c r="C18" s="387"/>
      <c r="E18" s="382"/>
      <c r="F18" s="378"/>
      <c r="G18" s="378"/>
      <c r="H18" s="378"/>
      <c r="I18" s="378"/>
      <c r="J18" s="378"/>
      <c r="K18" s="378"/>
      <c r="O18" s="444"/>
    </row>
    <row r="19" spans="1:16" s="375" customFormat="1" ht="1.5" customHeight="1">
      <c r="A19" s="387"/>
      <c r="B19" s="387"/>
      <c r="C19" s="387"/>
      <c r="E19" s="378"/>
      <c r="F19" s="378"/>
      <c r="G19" s="378"/>
      <c r="H19" s="378"/>
      <c r="I19" s="378"/>
      <c r="J19" s="378"/>
      <c r="K19" s="378"/>
      <c r="O19" s="444"/>
    </row>
    <row r="20" spans="1:16" s="375" customFormat="1" ht="1.5" customHeight="1">
      <c r="A20" s="386"/>
      <c r="B20" s="386"/>
      <c r="C20" s="386"/>
      <c r="F20" s="452" t="e">
        <f>+F21-6841</f>
        <v>#REF!</v>
      </c>
      <c r="G20" s="452"/>
      <c r="H20" s="452"/>
      <c r="I20" s="452"/>
      <c r="J20" s="452"/>
      <c r="K20" s="452"/>
      <c r="O20" s="444"/>
    </row>
    <row r="21" spans="1:16" s="375" customFormat="1" ht="1.5" customHeight="1" thickBot="1">
      <c r="A21" s="387"/>
      <c r="B21" s="387"/>
      <c r="C21" s="387"/>
      <c r="F21" s="452" t="e">
        <f>38281-F27</f>
        <v>#REF!</v>
      </c>
      <c r="G21" s="452"/>
      <c r="H21" s="452"/>
      <c r="I21" s="452"/>
      <c r="J21" s="452"/>
      <c r="K21" s="452"/>
      <c r="O21" s="444"/>
    </row>
    <row r="22" spans="1:16" ht="66.75" customHeight="1" thickBot="1">
      <c r="A22" s="352" t="s">
        <v>1057</v>
      </c>
      <c r="B22" s="352"/>
      <c r="C22" s="284" t="s">
        <v>797</v>
      </c>
      <c r="D22" s="284" t="str">
        <f>+Ingresos!C25</f>
        <v>Escenario Financiero Año 2005</v>
      </c>
      <c r="E22" s="272" t="s">
        <v>798</v>
      </c>
      <c r="F22" s="733"/>
      <c r="G22" s="272" t="s">
        <v>1058</v>
      </c>
      <c r="H22" s="272" t="s">
        <v>800</v>
      </c>
      <c r="I22" s="272" t="s">
        <v>1059</v>
      </c>
      <c r="J22" s="272" t="s">
        <v>1060</v>
      </c>
      <c r="K22" s="272" t="s">
        <v>1061</v>
      </c>
      <c r="L22" s="272" t="s">
        <v>803</v>
      </c>
      <c r="M22" s="272" t="s">
        <v>1062</v>
      </c>
      <c r="N22" s="272" t="s">
        <v>805</v>
      </c>
      <c r="O22" s="734" t="s">
        <v>806</v>
      </c>
      <c r="P22" s="955" t="s">
        <v>1063</v>
      </c>
    </row>
    <row r="23" spans="1:16" ht="66.75" hidden="1" customHeight="1" thickBot="1">
      <c r="A23" s="285"/>
      <c r="B23" s="285"/>
      <c r="C23" s="284"/>
      <c r="D23" s="284"/>
      <c r="E23" s="272"/>
      <c r="F23" s="735"/>
      <c r="G23" s="272"/>
      <c r="H23" s="272"/>
      <c r="I23" s="272"/>
      <c r="J23" s="272"/>
      <c r="K23" s="272"/>
      <c r="L23" s="272"/>
      <c r="M23" s="272"/>
      <c r="N23" s="272"/>
      <c r="O23" s="734"/>
      <c r="P23" s="272"/>
    </row>
    <row r="24" spans="1:16" ht="66.75" hidden="1" customHeight="1" thickBot="1">
      <c r="A24" s="285"/>
      <c r="B24" s="285"/>
      <c r="C24" s="284"/>
      <c r="D24" s="284"/>
      <c r="E24" s="272"/>
      <c r="F24" s="735"/>
      <c r="G24" s="272"/>
      <c r="H24" s="272"/>
      <c r="I24" s="272"/>
      <c r="J24" s="272"/>
      <c r="K24" s="272"/>
      <c r="L24" s="272"/>
      <c r="M24" s="272"/>
      <c r="N24" s="272"/>
      <c r="O24" s="734"/>
      <c r="P24" s="272"/>
    </row>
    <row r="25" spans="1:16">
      <c r="A25" s="47" t="s">
        <v>1064</v>
      </c>
      <c r="B25" s="54"/>
      <c r="C25" s="437" t="s">
        <v>1065</v>
      </c>
      <c r="D25" s="48" t="e">
        <f>+D26+D74+D201+D224+D232</f>
        <v>#N/A</v>
      </c>
      <c r="E25" s="48">
        <f>+E26+E74+E201+E224+E232</f>
        <v>0</v>
      </c>
      <c r="F25" s="285">
        <v>0</v>
      </c>
      <c r="G25" s="48">
        <f>+G26+G74+G201+G224+G232</f>
        <v>0</v>
      </c>
      <c r="H25" s="48">
        <f t="shared" ref="H25:H90" si="0">+G25-E25</f>
        <v>0</v>
      </c>
      <c r="I25" s="48">
        <f>+I26+I74+I201+I224+I232</f>
        <v>0</v>
      </c>
      <c r="J25" s="48">
        <f>+J26+J74+J201+J224+J232</f>
        <v>0</v>
      </c>
      <c r="K25" s="48">
        <f>+K26+K74+K201+K224+K232</f>
        <v>0</v>
      </c>
      <c r="L25" s="49" t="e">
        <f t="shared" ref="L25:L88" si="1">+J25/G25</f>
        <v>#DIV/0!</v>
      </c>
      <c r="M25" s="48">
        <f>+M26+M74+M201+M224+M232</f>
        <v>0</v>
      </c>
      <c r="N25" s="49" t="e">
        <f t="shared" ref="N25:N88" si="2">+(J25/M25)-1</f>
        <v>#DIV/0!</v>
      </c>
      <c r="O25" s="49" t="e">
        <f t="shared" ref="O25:O88" si="3">+J25/D25</f>
        <v>#N/A</v>
      </c>
      <c r="P25" s="48" t="e">
        <f>+P26+P74+P201+P224+P232</f>
        <v>#N/A</v>
      </c>
    </row>
    <row r="26" spans="1:16" ht="12.75" customHeight="1" thickBot="1">
      <c r="A26" s="47" t="s">
        <v>1066</v>
      </c>
      <c r="B26" s="54"/>
      <c r="C26" s="438" t="s">
        <v>1067</v>
      </c>
      <c r="D26" s="736" t="e">
        <f>+D27+D42+D46+D71</f>
        <v>#N/A</v>
      </c>
      <c r="E26" s="32">
        <f>+E27+E42+E46+E71</f>
        <v>0</v>
      </c>
      <c r="F26" s="285">
        <v>0</v>
      </c>
      <c r="G26" s="32">
        <f>+G27+G42+G46+G71</f>
        <v>0</v>
      </c>
      <c r="H26" s="32">
        <f t="shared" si="0"/>
        <v>0</v>
      </c>
      <c r="I26" s="32">
        <f>+I27+I42+I46+I71</f>
        <v>0</v>
      </c>
      <c r="J26" s="32">
        <f>+J27+J42+J46+J71</f>
        <v>0</v>
      </c>
      <c r="K26" s="32">
        <f>+K27+K42+K46+K71</f>
        <v>0</v>
      </c>
      <c r="L26" s="50" t="e">
        <f t="shared" si="1"/>
        <v>#DIV/0!</v>
      </c>
      <c r="M26" s="32">
        <f>+M27+M42+M46+M71</f>
        <v>0</v>
      </c>
      <c r="N26" s="50" t="e">
        <f t="shared" si="2"/>
        <v>#DIV/0!</v>
      </c>
      <c r="O26" s="50" t="e">
        <f t="shared" si="3"/>
        <v>#N/A</v>
      </c>
      <c r="P26" s="32" t="e">
        <f>+P27+P42+P46+P71</f>
        <v>#N/A</v>
      </c>
    </row>
    <row r="27" spans="1:16">
      <c r="A27" s="47" t="s">
        <v>1068</v>
      </c>
      <c r="B27" s="54"/>
      <c r="C27" s="438" t="s">
        <v>1069</v>
      </c>
      <c r="D27" s="736" t="e">
        <f>+D28+D29+D35</f>
        <v>#N/A</v>
      </c>
      <c r="E27" s="32">
        <f>+E28+E29+E35</f>
        <v>0</v>
      </c>
      <c r="F27" s="48" t="e">
        <f>+F28+F76+#REF!+F226</f>
        <v>#REF!</v>
      </c>
      <c r="G27" s="32">
        <f>+G28+G29+G35</f>
        <v>0</v>
      </c>
      <c r="H27" s="32">
        <f t="shared" si="0"/>
        <v>0</v>
      </c>
      <c r="I27" s="32">
        <f>+I28+I29+I35</f>
        <v>0</v>
      </c>
      <c r="J27" s="32">
        <f>+J28+J29+J35</f>
        <v>0</v>
      </c>
      <c r="K27" s="32">
        <f>+K28+K29+K35</f>
        <v>0</v>
      </c>
      <c r="L27" s="50" t="e">
        <f t="shared" si="1"/>
        <v>#DIV/0!</v>
      </c>
      <c r="M27" s="32">
        <f>+M28+M29+M35</f>
        <v>0</v>
      </c>
      <c r="N27" s="50" t="e">
        <f t="shared" si="2"/>
        <v>#DIV/0!</v>
      </c>
      <c r="O27" s="50" t="e">
        <f t="shared" si="3"/>
        <v>#N/A</v>
      </c>
      <c r="P27" s="32" t="e">
        <f>+P28+P29+P35</f>
        <v>#N/A</v>
      </c>
    </row>
    <row r="28" spans="1:16">
      <c r="A28" s="47" t="s">
        <v>1070</v>
      </c>
      <c r="B28" s="54"/>
      <c r="C28" s="438" t="s">
        <v>1071</v>
      </c>
      <c r="D28" s="737">
        <f>VLOOKUP(A28,'Gastos Proyecciones'!$A$10:$T$198,LOOKUP($D$22,'Gastos Proyecciones'!$C$10:$T$10,'Gastos Proyecciones'!$C$205:$T$205),FALSE)</f>
        <v>158329.60000000001</v>
      </c>
      <c r="E28" s="16"/>
      <c r="F28" s="699">
        <v>0</v>
      </c>
      <c r="G28" s="16"/>
      <c r="H28" s="44">
        <f t="shared" si="0"/>
        <v>0</v>
      </c>
      <c r="I28" s="16"/>
      <c r="J28" s="16"/>
      <c r="K28" s="16"/>
      <c r="L28" s="52" t="e">
        <f t="shared" si="1"/>
        <v>#DIV/0!</v>
      </c>
      <c r="M28" s="16"/>
      <c r="N28" s="52" t="e">
        <f t="shared" si="2"/>
        <v>#DIV/0!</v>
      </c>
      <c r="O28" s="52">
        <f t="shared" si="3"/>
        <v>0</v>
      </c>
      <c r="P28" s="16">
        <f>VLOOKUP(A28,'Gastos Proyecciones'!$A$10:$T$198,LOOKUP(Ingresos!$O$190,'Gastos Proyecciones'!$C$10:$T$10,'Gastos Proyecciones'!$C$205:$T$205),FALSE)</f>
        <v>158329.60000000001</v>
      </c>
    </row>
    <row r="29" spans="1:16">
      <c r="A29" s="47" t="s">
        <v>1072</v>
      </c>
      <c r="B29" s="54"/>
      <c r="C29" s="438" t="s">
        <v>1073</v>
      </c>
      <c r="D29" s="736" t="e">
        <f>SUM(D30:D34)</f>
        <v>#N/A</v>
      </c>
      <c r="E29" s="32">
        <f>SUM(E30:E34)</f>
        <v>0</v>
      </c>
      <c r="F29" s="32">
        <f>+F30+F31+F37</f>
        <v>0</v>
      </c>
      <c r="G29" s="32">
        <f>SUM(G30:G34)</f>
        <v>0</v>
      </c>
      <c r="H29" s="32">
        <f t="shared" si="0"/>
        <v>0</v>
      </c>
      <c r="I29" s="32">
        <f>SUM(I30:I34)</f>
        <v>0</v>
      </c>
      <c r="J29" s="32">
        <f>SUM(J30:J34)</f>
        <v>0</v>
      </c>
      <c r="K29" s="32">
        <f>SUM(K30:K34)</f>
        <v>0</v>
      </c>
      <c r="L29" s="50" t="e">
        <f t="shared" si="1"/>
        <v>#DIV/0!</v>
      </c>
      <c r="M29" s="32">
        <f>SUM(M30:M34)</f>
        <v>0</v>
      </c>
      <c r="N29" s="50" t="e">
        <f t="shared" si="2"/>
        <v>#DIV/0!</v>
      </c>
      <c r="O29" s="50" t="e">
        <f t="shared" si="3"/>
        <v>#N/A</v>
      </c>
      <c r="P29" s="32" t="e">
        <f>SUM(P30:P34)</f>
        <v>#N/A</v>
      </c>
    </row>
    <row r="30" spans="1:16">
      <c r="A30" s="53" t="s">
        <v>1074</v>
      </c>
      <c r="B30" s="54"/>
      <c r="C30" s="439" t="s">
        <v>924</v>
      </c>
      <c r="D30" s="737" t="e">
        <f>VLOOKUP(A30,'Gastos Proyecciones'!$A$10:$T$198,LOOKUP($D$22,'Gastos Proyecciones'!$C$10:$T$10,'Gastos Proyecciones'!$C$205:$T$205),FALSE)</f>
        <v>#N/A</v>
      </c>
      <c r="E30" s="16"/>
      <c r="F30" s="699">
        <v>0</v>
      </c>
      <c r="G30" s="16"/>
      <c r="H30" s="44">
        <f t="shared" si="0"/>
        <v>0</v>
      </c>
      <c r="I30" s="16"/>
      <c r="J30" s="16"/>
      <c r="K30" s="16"/>
      <c r="L30" s="52" t="e">
        <f t="shared" si="1"/>
        <v>#DIV/0!</v>
      </c>
      <c r="M30" s="16"/>
      <c r="N30" s="52" t="e">
        <f t="shared" si="2"/>
        <v>#DIV/0!</v>
      </c>
      <c r="O30" s="52" t="e">
        <f t="shared" si="3"/>
        <v>#N/A</v>
      </c>
      <c r="P30" s="16" t="e">
        <f>VLOOKUP(A30,'Gastos Proyecciones'!$A$10:$T$198,LOOKUP(Ingresos!$O$190,'Gastos Proyecciones'!$C$10:$T$10,'Gastos Proyecciones'!$C$205:$T$205),FALSE)</f>
        <v>#N/A</v>
      </c>
    </row>
    <row r="31" spans="1:16">
      <c r="A31" s="53" t="s">
        <v>1075</v>
      </c>
      <c r="B31" s="54"/>
      <c r="C31" s="439" t="s">
        <v>1076</v>
      </c>
      <c r="D31" s="737" t="e">
        <f>VLOOKUP(A31,'Gastos Proyecciones'!$A$10:$T$198,LOOKUP($D$22,'Gastos Proyecciones'!$C$10:$T$10,'Gastos Proyecciones'!$C$205:$T$205),FALSE)</f>
        <v>#N/A</v>
      </c>
      <c r="E31" s="16"/>
      <c r="F31" s="699">
        <v>0</v>
      </c>
      <c r="G31" s="16"/>
      <c r="H31" s="44">
        <f t="shared" si="0"/>
        <v>0</v>
      </c>
      <c r="I31" s="16"/>
      <c r="J31" s="16"/>
      <c r="K31" s="16"/>
      <c r="L31" s="52" t="e">
        <f t="shared" si="1"/>
        <v>#DIV/0!</v>
      </c>
      <c r="M31" s="16"/>
      <c r="N31" s="52" t="e">
        <f t="shared" si="2"/>
        <v>#DIV/0!</v>
      </c>
      <c r="O31" s="52" t="e">
        <f t="shared" si="3"/>
        <v>#N/A</v>
      </c>
      <c r="P31" s="16" t="e">
        <f>VLOOKUP(A31,'Gastos Proyecciones'!$A$10:$T$198,LOOKUP(Ingresos!$O$190,'Gastos Proyecciones'!$C$10:$T$10,'Gastos Proyecciones'!$C$205:$T$205),FALSE)</f>
        <v>#N/A</v>
      </c>
    </row>
    <row r="32" spans="1:16">
      <c r="A32" s="53" t="s">
        <v>1077</v>
      </c>
      <c r="B32" s="54"/>
      <c r="C32" s="439" t="s">
        <v>1078</v>
      </c>
      <c r="D32" s="737" t="e">
        <f>VLOOKUP(A32,'Gastos Proyecciones'!$A$10:$T$198,LOOKUP($D$22,'Gastos Proyecciones'!$C$10:$T$10,'Gastos Proyecciones'!$C$205:$T$205),FALSE)</f>
        <v>#N/A</v>
      </c>
      <c r="E32" s="16"/>
      <c r="F32" s="699">
        <v>0</v>
      </c>
      <c r="G32" s="16"/>
      <c r="H32" s="44">
        <f t="shared" si="0"/>
        <v>0</v>
      </c>
      <c r="I32" s="16"/>
      <c r="J32" s="16"/>
      <c r="K32" s="16"/>
      <c r="L32" s="52" t="e">
        <f t="shared" si="1"/>
        <v>#DIV/0!</v>
      </c>
      <c r="M32" s="16"/>
      <c r="N32" s="52" t="e">
        <f t="shared" si="2"/>
        <v>#DIV/0!</v>
      </c>
      <c r="O32" s="52" t="e">
        <f t="shared" si="3"/>
        <v>#N/A</v>
      </c>
      <c r="P32" s="16" t="e">
        <f>VLOOKUP(A32,'Gastos Proyecciones'!$A$10:$T$198,LOOKUP(Ingresos!$O$190,'Gastos Proyecciones'!$C$10:$T$10,'Gastos Proyecciones'!$C$205:$T$205),FALSE)</f>
        <v>#N/A</v>
      </c>
    </row>
    <row r="33" spans="1:16">
      <c r="A33" s="53" t="s">
        <v>1079</v>
      </c>
      <c r="B33" s="54"/>
      <c r="C33" s="439" t="s">
        <v>1080</v>
      </c>
      <c r="D33" s="737" t="e">
        <f>VLOOKUP(A33,'Gastos Proyecciones'!$A$10:$T$198,LOOKUP($D$22,'Gastos Proyecciones'!$C$10:$T$10,'Gastos Proyecciones'!$C$205:$T$205),FALSE)</f>
        <v>#N/A</v>
      </c>
      <c r="E33" s="16"/>
      <c r="F33" s="699">
        <v>0</v>
      </c>
      <c r="G33" s="16"/>
      <c r="H33" s="44">
        <f t="shared" si="0"/>
        <v>0</v>
      </c>
      <c r="I33" s="16"/>
      <c r="J33" s="16"/>
      <c r="K33" s="16"/>
      <c r="L33" s="52" t="e">
        <f t="shared" si="1"/>
        <v>#DIV/0!</v>
      </c>
      <c r="M33" s="16"/>
      <c r="N33" s="52" t="e">
        <f t="shared" si="2"/>
        <v>#DIV/0!</v>
      </c>
      <c r="O33" s="52" t="e">
        <f t="shared" si="3"/>
        <v>#N/A</v>
      </c>
      <c r="P33" s="16" t="e">
        <f>VLOOKUP(A33,'Gastos Proyecciones'!$A$10:$T$198,LOOKUP(Ingresos!$O$190,'Gastos Proyecciones'!$C$10:$T$10,'Gastos Proyecciones'!$C$205:$T$205),FALSE)</f>
        <v>#N/A</v>
      </c>
    </row>
    <row r="34" spans="1:16">
      <c r="A34" s="53" t="s">
        <v>1081</v>
      </c>
      <c r="B34" s="54"/>
      <c r="C34" s="439" t="s">
        <v>913</v>
      </c>
      <c r="D34" s="737">
        <f>VLOOKUP(A34,'Gastos Proyecciones'!$A$10:$T$198,LOOKUP($D$22,'Gastos Proyecciones'!$C$10:$T$10,'Gastos Proyecciones'!$C$205:$T$205),FALSE)</f>
        <v>95637.36</v>
      </c>
      <c r="E34" s="16"/>
      <c r="F34" s="699">
        <v>0</v>
      </c>
      <c r="G34" s="16"/>
      <c r="H34" s="44">
        <f t="shared" si="0"/>
        <v>0</v>
      </c>
      <c r="I34" s="16"/>
      <c r="J34" s="16"/>
      <c r="K34" s="16"/>
      <c r="L34" s="52" t="e">
        <f t="shared" si="1"/>
        <v>#DIV/0!</v>
      </c>
      <c r="M34" s="16"/>
      <c r="N34" s="52" t="e">
        <f t="shared" si="2"/>
        <v>#DIV/0!</v>
      </c>
      <c r="O34" s="52">
        <f t="shared" si="3"/>
        <v>0</v>
      </c>
      <c r="P34" s="16">
        <f>VLOOKUP(A34,'Gastos Proyecciones'!$A$10:$T$198,LOOKUP(Ingresos!$O$190,'Gastos Proyecciones'!$C$10:$T$10,'Gastos Proyecciones'!$C$205:$T$205),FALSE)</f>
        <v>95637.36</v>
      </c>
    </row>
    <row r="35" spans="1:16">
      <c r="A35" s="47" t="s">
        <v>1082</v>
      </c>
      <c r="B35" s="54"/>
      <c r="C35" s="438" t="s">
        <v>1083</v>
      </c>
      <c r="D35" s="736" t="e">
        <f>+D36+D39</f>
        <v>#N/A</v>
      </c>
      <c r="E35" s="32">
        <f>+E36+E39</f>
        <v>0</v>
      </c>
      <c r="F35" s="61" t="e">
        <f>+E33+#REF!+#REF!-#REF!-#REF!</f>
        <v>#REF!</v>
      </c>
      <c r="G35" s="32">
        <f>+G36+G39</f>
        <v>0</v>
      </c>
      <c r="H35" s="32">
        <f t="shared" si="0"/>
        <v>0</v>
      </c>
      <c r="I35" s="32">
        <f>+I36+I39</f>
        <v>0</v>
      </c>
      <c r="J35" s="32">
        <f>+J36+J39</f>
        <v>0</v>
      </c>
      <c r="K35" s="32">
        <f>+K36+K39</f>
        <v>0</v>
      </c>
      <c r="L35" s="50" t="e">
        <f t="shared" si="1"/>
        <v>#DIV/0!</v>
      </c>
      <c r="M35" s="32">
        <f>+M36+M39</f>
        <v>0</v>
      </c>
      <c r="N35" s="50" t="e">
        <f t="shared" si="2"/>
        <v>#DIV/0!</v>
      </c>
      <c r="O35" s="50" t="e">
        <f t="shared" si="3"/>
        <v>#N/A</v>
      </c>
      <c r="P35" s="32" t="e">
        <f>+P36+P39</f>
        <v>#N/A</v>
      </c>
    </row>
    <row r="36" spans="1:16">
      <c r="A36" s="47" t="s">
        <v>1084</v>
      </c>
      <c r="B36" s="54"/>
      <c r="C36" s="438" t="s">
        <v>1085</v>
      </c>
      <c r="D36" s="736" t="e">
        <f>SUM(D37:D38)</f>
        <v>#N/A</v>
      </c>
      <c r="E36" s="32">
        <f>SUM(E37:E38)</f>
        <v>0</v>
      </c>
      <c r="F36" s="61" t="e">
        <f>+E34+#REF!+#REF!-#REF!-#REF!</f>
        <v>#REF!</v>
      </c>
      <c r="G36" s="32">
        <f>SUM(G37:G38)</f>
        <v>0</v>
      </c>
      <c r="H36" s="32">
        <f t="shared" si="0"/>
        <v>0</v>
      </c>
      <c r="I36" s="32">
        <f>SUM(I37:I38)</f>
        <v>0</v>
      </c>
      <c r="J36" s="32">
        <f>SUM(J37:J38)</f>
        <v>0</v>
      </c>
      <c r="K36" s="32">
        <f>SUM(K37:K38)</f>
        <v>0</v>
      </c>
      <c r="L36" s="50" t="e">
        <f t="shared" si="1"/>
        <v>#DIV/0!</v>
      </c>
      <c r="M36" s="32">
        <f>SUM(M37:M38)</f>
        <v>0</v>
      </c>
      <c r="N36" s="50" t="e">
        <f t="shared" si="2"/>
        <v>#DIV/0!</v>
      </c>
      <c r="O36" s="50" t="e">
        <f t="shared" si="3"/>
        <v>#N/A</v>
      </c>
      <c r="P36" s="32" t="e">
        <f>SUM(P37:P38)</f>
        <v>#N/A</v>
      </c>
    </row>
    <row r="37" spans="1:16">
      <c r="A37" s="53" t="s">
        <v>1086</v>
      </c>
      <c r="B37" s="54"/>
      <c r="C37" s="439" t="s">
        <v>911</v>
      </c>
      <c r="D37" s="737">
        <f>VLOOKUP(A37,'Gastos Proyecciones'!$A$10:$T$198,LOOKUP($D$22,'Gastos Proyecciones'!$C$10:$T$10,'Gastos Proyecciones'!$C$205:$T$205),FALSE)</f>
        <v>936</v>
      </c>
      <c r="E37" s="16"/>
      <c r="F37" s="699">
        <v>0</v>
      </c>
      <c r="G37" s="16"/>
      <c r="H37" s="44">
        <f t="shared" si="0"/>
        <v>0</v>
      </c>
      <c r="I37" s="16"/>
      <c r="J37" s="16"/>
      <c r="K37" s="16"/>
      <c r="L37" s="52" t="e">
        <f t="shared" si="1"/>
        <v>#DIV/0!</v>
      </c>
      <c r="M37" s="16"/>
      <c r="N37" s="52" t="e">
        <f t="shared" si="2"/>
        <v>#DIV/0!</v>
      </c>
      <c r="O37" s="52">
        <f t="shared" si="3"/>
        <v>0</v>
      </c>
      <c r="P37" s="16">
        <f>VLOOKUP(A37,'Gastos Proyecciones'!$A$10:$T$198,LOOKUP(Ingresos!$O$190,'Gastos Proyecciones'!$C$10:$T$10,'Gastos Proyecciones'!$C$205:$T$205),FALSE)</f>
        <v>936</v>
      </c>
    </row>
    <row r="38" spans="1:16">
      <c r="A38" s="53" t="s">
        <v>1087</v>
      </c>
      <c r="B38" s="54"/>
      <c r="C38" s="439" t="s">
        <v>914</v>
      </c>
      <c r="D38" s="737" t="e">
        <f>VLOOKUP(A38,'Gastos Proyecciones'!$A$10:$T$198,LOOKUP($D$22,'Gastos Proyecciones'!$C$10:$T$10,'Gastos Proyecciones'!$C$205:$T$205),FALSE)</f>
        <v>#N/A</v>
      </c>
      <c r="E38" s="16"/>
      <c r="F38" s="699">
        <v>0</v>
      </c>
      <c r="G38" s="16"/>
      <c r="H38" s="44">
        <f t="shared" si="0"/>
        <v>0</v>
      </c>
      <c r="I38" s="16"/>
      <c r="J38" s="16"/>
      <c r="K38" s="16"/>
      <c r="L38" s="52" t="e">
        <f t="shared" si="1"/>
        <v>#DIV/0!</v>
      </c>
      <c r="M38" s="16"/>
      <c r="N38" s="52" t="e">
        <f t="shared" si="2"/>
        <v>#DIV/0!</v>
      </c>
      <c r="O38" s="52" t="e">
        <f t="shared" si="3"/>
        <v>#N/A</v>
      </c>
      <c r="P38" s="16" t="e">
        <f>VLOOKUP(A38,'Gastos Proyecciones'!$A$10:$T$198,LOOKUP(Ingresos!$O$190,'Gastos Proyecciones'!$C$10:$T$10,'Gastos Proyecciones'!$C$205:$T$205),FALSE)</f>
        <v>#N/A</v>
      </c>
    </row>
    <row r="39" spans="1:16">
      <c r="A39" s="47" t="s">
        <v>1088</v>
      </c>
      <c r="B39" s="54"/>
      <c r="C39" s="438" t="s">
        <v>1090</v>
      </c>
      <c r="D39" s="736">
        <f>SUM(D40:D41)</f>
        <v>48921.599999999999</v>
      </c>
      <c r="E39" s="32">
        <f>SUM(E40:E41)</f>
        <v>0</v>
      </c>
      <c r="F39" s="61" t="e">
        <f>+E37+#REF!+#REF!-#REF!-#REF!</f>
        <v>#REF!</v>
      </c>
      <c r="G39" s="32">
        <f>SUM(G40:G41)</f>
        <v>0</v>
      </c>
      <c r="H39" s="32">
        <f t="shared" si="0"/>
        <v>0</v>
      </c>
      <c r="I39" s="32">
        <f>SUM(I40:I41)</f>
        <v>0</v>
      </c>
      <c r="J39" s="32">
        <f>SUM(J40:J41)</f>
        <v>0</v>
      </c>
      <c r="K39" s="32">
        <f>SUM(K40:K41)</f>
        <v>0</v>
      </c>
      <c r="L39" s="50" t="e">
        <f t="shared" si="1"/>
        <v>#DIV/0!</v>
      </c>
      <c r="M39" s="32">
        <f>SUM(M40:M41)</f>
        <v>0</v>
      </c>
      <c r="N39" s="50" t="e">
        <f t="shared" si="2"/>
        <v>#DIV/0!</v>
      </c>
      <c r="O39" s="50">
        <f t="shared" si="3"/>
        <v>0</v>
      </c>
      <c r="P39" s="32">
        <f>SUM(P40:P41)</f>
        <v>48921.599999999999</v>
      </c>
    </row>
    <row r="40" spans="1:16">
      <c r="A40" s="53" t="s">
        <v>1091</v>
      </c>
      <c r="B40" s="54"/>
      <c r="C40" s="439" t="s">
        <v>912</v>
      </c>
      <c r="D40" s="737">
        <f>VLOOKUP(A40,'Gastos Proyecciones'!$A$10:$T$198,LOOKUP($D$22,'Gastos Proyecciones'!$C$10:$T$10,'Gastos Proyecciones'!$C$205:$T$205),FALSE)</f>
        <v>33176</v>
      </c>
      <c r="E40" s="16"/>
      <c r="F40" s="699">
        <v>0</v>
      </c>
      <c r="G40" s="16"/>
      <c r="H40" s="44">
        <f t="shared" si="0"/>
        <v>0</v>
      </c>
      <c r="I40" s="16"/>
      <c r="J40" s="16"/>
      <c r="K40" s="16"/>
      <c r="L40" s="52" t="e">
        <f t="shared" si="1"/>
        <v>#DIV/0!</v>
      </c>
      <c r="M40" s="16"/>
      <c r="N40" s="52" t="e">
        <f t="shared" si="2"/>
        <v>#DIV/0!</v>
      </c>
      <c r="O40" s="52">
        <f t="shared" si="3"/>
        <v>0</v>
      </c>
      <c r="P40" s="16">
        <f>VLOOKUP(A40,'Gastos Proyecciones'!$A$10:$T$198,LOOKUP(Ingresos!$O$190,'Gastos Proyecciones'!$C$10:$T$10,'Gastos Proyecciones'!$C$205:$T$205),FALSE)</f>
        <v>33176</v>
      </c>
    </row>
    <row r="41" spans="1:16">
      <c r="A41" s="53" t="s">
        <v>1092</v>
      </c>
      <c r="B41" s="54"/>
      <c r="C41" s="439" t="s">
        <v>914</v>
      </c>
      <c r="D41" s="737">
        <f>VLOOKUP(A41,'Gastos Proyecciones'!$A$10:$T$198,LOOKUP($D$22,'Gastos Proyecciones'!$C$10:$T$10,'Gastos Proyecciones'!$C$205:$T$205),FALSE)</f>
        <v>15745.6</v>
      </c>
      <c r="E41" s="16"/>
      <c r="F41" s="699">
        <v>0</v>
      </c>
      <c r="G41" s="16"/>
      <c r="H41" s="44">
        <f t="shared" si="0"/>
        <v>0</v>
      </c>
      <c r="I41" s="16"/>
      <c r="J41" s="16"/>
      <c r="K41" s="16"/>
      <c r="L41" s="52" t="e">
        <f t="shared" si="1"/>
        <v>#DIV/0!</v>
      </c>
      <c r="M41" s="16"/>
      <c r="N41" s="52" t="e">
        <f t="shared" si="2"/>
        <v>#DIV/0!</v>
      </c>
      <c r="O41" s="52">
        <f t="shared" si="3"/>
        <v>0</v>
      </c>
      <c r="P41" s="16">
        <f>VLOOKUP(A41,'Gastos Proyecciones'!$A$10:$T$198,LOOKUP(Ingresos!$O$190,'Gastos Proyecciones'!$C$10:$T$10,'Gastos Proyecciones'!$C$205:$T$205),FALSE)</f>
        <v>15745.6</v>
      </c>
    </row>
    <row r="42" spans="1:16">
      <c r="A42" s="47" t="s">
        <v>1093</v>
      </c>
      <c r="B42" s="54"/>
      <c r="C42" s="438" t="s">
        <v>1094</v>
      </c>
      <c r="D42" s="736" t="e">
        <f>SUM(D43:D45)</f>
        <v>#N/A</v>
      </c>
      <c r="E42" s="32">
        <f>SUM(E43:E45)</f>
        <v>0</v>
      </c>
      <c r="F42" s="61" t="e">
        <f>+E40+#REF!+#REF!-#REF!-#REF!</f>
        <v>#REF!</v>
      </c>
      <c r="G42" s="32">
        <f>SUM(G43:G45)</f>
        <v>0</v>
      </c>
      <c r="H42" s="32">
        <f t="shared" si="0"/>
        <v>0</v>
      </c>
      <c r="I42" s="32">
        <f>SUM(I43:I45)</f>
        <v>0</v>
      </c>
      <c r="J42" s="32">
        <f>SUM(J43:J45)</f>
        <v>0</v>
      </c>
      <c r="K42" s="32">
        <f>SUM(K43:K45)</f>
        <v>0</v>
      </c>
      <c r="L42" s="50" t="e">
        <f t="shared" si="1"/>
        <v>#DIV/0!</v>
      </c>
      <c r="M42" s="32">
        <f>SUM(M43:M45)</f>
        <v>0</v>
      </c>
      <c r="N42" s="50" t="e">
        <f t="shared" si="2"/>
        <v>#DIV/0!</v>
      </c>
      <c r="O42" s="50" t="e">
        <f t="shared" si="3"/>
        <v>#N/A</v>
      </c>
      <c r="P42" s="32" t="e">
        <f>SUM(P43:P45)</f>
        <v>#N/A</v>
      </c>
    </row>
    <row r="43" spans="1:16">
      <c r="A43" s="53" t="s">
        <v>1095</v>
      </c>
      <c r="B43" s="54"/>
      <c r="C43" s="439" t="s">
        <v>1096</v>
      </c>
      <c r="D43" s="737">
        <f>VLOOKUP(A43,'Gastos Proyecciones'!$A$10:$T$198,LOOKUP($D$22,'Gastos Proyecciones'!$C$10:$T$10,'Gastos Proyecciones'!$C$205:$T$205),FALSE)</f>
        <v>59592</v>
      </c>
      <c r="E43" s="16"/>
      <c r="F43" s="699">
        <v>0</v>
      </c>
      <c r="G43" s="16"/>
      <c r="H43" s="44">
        <f t="shared" si="0"/>
        <v>0</v>
      </c>
      <c r="I43" s="16"/>
      <c r="J43" s="16"/>
      <c r="K43" s="16"/>
      <c r="L43" s="52" t="e">
        <f t="shared" si="1"/>
        <v>#DIV/0!</v>
      </c>
      <c r="M43" s="16"/>
      <c r="N43" s="52" t="e">
        <f t="shared" si="2"/>
        <v>#DIV/0!</v>
      </c>
      <c r="O43" s="52">
        <f t="shared" si="3"/>
        <v>0</v>
      </c>
      <c r="P43" s="16">
        <f>VLOOKUP(A43,'Gastos Proyecciones'!$A$10:$T$198,LOOKUP(Ingresos!$O$190,'Gastos Proyecciones'!$C$10:$T$10,'Gastos Proyecciones'!$C$205:$T$205),FALSE)</f>
        <v>59592</v>
      </c>
    </row>
    <row r="44" spans="1:16">
      <c r="A44" s="53" t="s">
        <v>1097</v>
      </c>
      <c r="B44" s="54"/>
      <c r="C44" s="439" t="s">
        <v>1098</v>
      </c>
      <c r="D44" s="737">
        <f>VLOOKUP(A44,'Gastos Proyecciones'!$A$10:$T$198,LOOKUP($D$22,'Gastos Proyecciones'!$C$10:$T$10,'Gastos Proyecciones'!$C$205:$T$205),FALSE)</f>
        <v>149801</v>
      </c>
      <c r="E44" s="16"/>
      <c r="F44" s="699">
        <v>0</v>
      </c>
      <c r="G44" s="16"/>
      <c r="H44" s="44">
        <f t="shared" si="0"/>
        <v>0</v>
      </c>
      <c r="I44" s="16"/>
      <c r="J44" s="16"/>
      <c r="K44" s="16"/>
      <c r="L44" s="52" t="e">
        <f t="shared" si="1"/>
        <v>#DIV/0!</v>
      </c>
      <c r="M44" s="16"/>
      <c r="N44" s="52" t="e">
        <f t="shared" si="2"/>
        <v>#DIV/0!</v>
      </c>
      <c r="O44" s="52">
        <f t="shared" si="3"/>
        <v>0</v>
      </c>
      <c r="P44" s="16">
        <f>VLOOKUP(A44,'Gastos Proyecciones'!$A$10:$T$198,LOOKUP(Ingresos!$O$190,'Gastos Proyecciones'!$C$10:$T$10,'Gastos Proyecciones'!$C$205:$T$205),FALSE)</f>
        <v>149801</v>
      </c>
    </row>
    <row r="45" spans="1:16">
      <c r="A45" s="53" t="s">
        <v>1099</v>
      </c>
      <c r="B45" s="54"/>
      <c r="C45" s="439" t="s">
        <v>1100</v>
      </c>
      <c r="D45" s="737" t="e">
        <f>VLOOKUP(A45,'Gastos Proyecciones'!$A$10:$T$198,LOOKUP($D$22,'Gastos Proyecciones'!$C$10:$T$10,'Gastos Proyecciones'!$C$205:$T$205),FALSE)</f>
        <v>#N/A</v>
      </c>
      <c r="E45" s="16"/>
      <c r="F45" s="699">
        <v>0</v>
      </c>
      <c r="G45" s="16"/>
      <c r="H45" s="44">
        <f t="shared" si="0"/>
        <v>0</v>
      </c>
      <c r="I45" s="16"/>
      <c r="J45" s="16"/>
      <c r="K45" s="16"/>
      <c r="L45" s="52" t="e">
        <f t="shared" si="1"/>
        <v>#DIV/0!</v>
      </c>
      <c r="M45" s="16"/>
      <c r="N45" s="52" t="e">
        <f t="shared" si="2"/>
        <v>#DIV/0!</v>
      </c>
      <c r="O45" s="52" t="e">
        <f t="shared" si="3"/>
        <v>#N/A</v>
      </c>
      <c r="P45" s="16" t="e">
        <f>VLOOKUP(A45,'Gastos Proyecciones'!$A$10:$T$198,LOOKUP(Ingresos!$O$190,'Gastos Proyecciones'!$C$10:$T$10,'Gastos Proyecciones'!$C$205:$T$205),FALSE)</f>
        <v>#N/A</v>
      </c>
    </row>
    <row r="46" spans="1:16">
      <c r="A46" s="47" t="s">
        <v>1101</v>
      </c>
      <c r="B46" s="54"/>
      <c r="C46" s="438" t="s">
        <v>1102</v>
      </c>
      <c r="D46" s="736">
        <f>+D47+D58+D66+D68+D70+D64+D65</f>
        <v>159861.52000000002</v>
      </c>
      <c r="E46" s="736">
        <f>+E47+E58+E66+E68+E70+E64+E65</f>
        <v>0</v>
      </c>
      <c r="F46" s="61" t="e">
        <f>+E44+#REF!+#REF!-#REF!-#REF!</f>
        <v>#REF!</v>
      </c>
      <c r="G46" s="736">
        <f>+G47+G58+G66+G68+G70+G64+G65</f>
        <v>0</v>
      </c>
      <c r="H46" s="32">
        <f t="shared" si="0"/>
        <v>0</v>
      </c>
      <c r="I46" s="736">
        <f>+I47+I58+I66+I68+I70+I64+I65</f>
        <v>0</v>
      </c>
      <c r="J46" s="736">
        <f>+J47+J58+J66+J68+J70+J64+J65</f>
        <v>0</v>
      </c>
      <c r="K46" s="736">
        <f>+K47+K58+K66+K68+K70+K64+K65</f>
        <v>0</v>
      </c>
      <c r="L46" s="50" t="e">
        <f t="shared" si="1"/>
        <v>#DIV/0!</v>
      </c>
      <c r="M46" s="736">
        <f>+M47+M58+M66+M68+M70+M64+M65</f>
        <v>0</v>
      </c>
      <c r="N46" s="50" t="e">
        <f t="shared" si="2"/>
        <v>#DIV/0!</v>
      </c>
      <c r="O46" s="50">
        <f t="shared" si="3"/>
        <v>0</v>
      </c>
      <c r="P46" s="736">
        <f>+P47+P58+P66+P68+P70+P64+P65</f>
        <v>159861.52000000002</v>
      </c>
    </row>
    <row r="47" spans="1:16">
      <c r="A47" s="47" t="s">
        <v>1103</v>
      </c>
      <c r="B47" s="54"/>
      <c r="C47" s="438" t="s">
        <v>1104</v>
      </c>
      <c r="D47" s="736">
        <f>+D48+D52</f>
        <v>53781.520000000004</v>
      </c>
      <c r="E47" s="32">
        <f>+E48+E52</f>
        <v>0</v>
      </c>
      <c r="F47" s="61" t="e">
        <f>+E45+#REF!+#REF!-#REF!-#REF!</f>
        <v>#REF!</v>
      </c>
      <c r="G47" s="32">
        <f>+G48+G52</f>
        <v>0</v>
      </c>
      <c r="H47" s="32">
        <f t="shared" si="0"/>
        <v>0</v>
      </c>
      <c r="I47" s="32">
        <f>+I48+I52</f>
        <v>0</v>
      </c>
      <c r="J47" s="32">
        <f>+J48+J52</f>
        <v>0</v>
      </c>
      <c r="K47" s="32">
        <f>+K48+K52</f>
        <v>0</v>
      </c>
      <c r="L47" s="50" t="e">
        <f t="shared" si="1"/>
        <v>#DIV/0!</v>
      </c>
      <c r="M47" s="32">
        <f>+M48+M52</f>
        <v>0</v>
      </c>
      <c r="N47" s="50" t="e">
        <f t="shared" si="2"/>
        <v>#DIV/0!</v>
      </c>
      <c r="O47" s="50">
        <f t="shared" si="3"/>
        <v>0</v>
      </c>
      <c r="P47" s="32">
        <f>+P48+P52</f>
        <v>53781.520000000004</v>
      </c>
    </row>
    <row r="48" spans="1:16">
      <c r="A48" s="54" t="s">
        <v>1105</v>
      </c>
      <c r="B48" s="54"/>
      <c r="C48" s="438" t="s">
        <v>1106</v>
      </c>
      <c r="D48" s="736">
        <f>SUM(D49:D51)</f>
        <v>53781.520000000004</v>
      </c>
      <c r="E48" s="32">
        <f>SUM(E49:E51)</f>
        <v>0</v>
      </c>
      <c r="F48" s="32" t="e">
        <f>+F49+F60+F70+F72+F74</f>
        <v>#REF!</v>
      </c>
      <c r="G48" s="32">
        <f>SUM(G49:G51)</f>
        <v>0</v>
      </c>
      <c r="H48" s="32">
        <f t="shared" si="0"/>
        <v>0</v>
      </c>
      <c r="I48" s="32">
        <f>SUM(I49:I51)</f>
        <v>0</v>
      </c>
      <c r="J48" s="32">
        <f>SUM(J49:J51)</f>
        <v>0</v>
      </c>
      <c r="K48" s="32">
        <f>SUM(K49:K51)</f>
        <v>0</v>
      </c>
      <c r="L48" s="50" t="e">
        <f t="shared" si="1"/>
        <v>#DIV/0!</v>
      </c>
      <c r="M48" s="32">
        <f>SUM(M49:M51)</f>
        <v>0</v>
      </c>
      <c r="N48" s="50" t="e">
        <f t="shared" si="2"/>
        <v>#DIV/0!</v>
      </c>
      <c r="O48" s="50">
        <f t="shared" si="3"/>
        <v>0</v>
      </c>
      <c r="P48" s="32">
        <f>SUM(P49:P51)</f>
        <v>53781.520000000004</v>
      </c>
    </row>
    <row r="49" spans="1:16">
      <c r="A49" s="53" t="s">
        <v>1107</v>
      </c>
      <c r="B49" s="54"/>
      <c r="C49" s="439" t="s">
        <v>1108</v>
      </c>
      <c r="D49" s="737">
        <f>VLOOKUP(A49,'Gastos Proyecciones'!$A$10:$T$198,LOOKUP($D$22,'Gastos Proyecciones'!$C$10:$T$10,'Gastos Proyecciones'!$C$205:$T$205),FALSE)</f>
        <v>11804</v>
      </c>
      <c r="E49" s="16"/>
      <c r="F49" s="699">
        <v>0</v>
      </c>
      <c r="G49" s="16"/>
      <c r="H49" s="44">
        <f t="shared" si="0"/>
        <v>0</v>
      </c>
      <c r="I49" s="16"/>
      <c r="J49" s="16"/>
      <c r="K49" s="16"/>
      <c r="L49" s="52" t="e">
        <f t="shared" si="1"/>
        <v>#DIV/0!</v>
      </c>
      <c r="M49" s="16"/>
      <c r="N49" s="52" t="e">
        <f t="shared" si="2"/>
        <v>#DIV/0!</v>
      </c>
      <c r="O49" s="52">
        <f t="shared" si="3"/>
        <v>0</v>
      </c>
      <c r="P49" s="16">
        <f>VLOOKUP(A49,'Gastos Proyecciones'!$A$10:$T$198,LOOKUP(Ingresos!$O$190,'Gastos Proyecciones'!$C$10:$T$10,'Gastos Proyecciones'!$C$205:$T$205),FALSE)</f>
        <v>11804</v>
      </c>
    </row>
    <row r="50" spans="1:16" hidden="1">
      <c r="A50" s="53" t="s">
        <v>1109</v>
      </c>
      <c r="B50" s="54"/>
      <c r="C50" s="439" t="s">
        <v>1110</v>
      </c>
      <c r="D50" s="737">
        <f>VLOOKUP(A50,'Gastos Proyecciones'!$A$10:$T$198,LOOKUP($D$22,'Gastos Proyecciones'!$C$10:$T$10,'Gastos Proyecciones'!$C$205:$T$205),FALSE)</f>
        <v>0</v>
      </c>
      <c r="E50" s="16"/>
      <c r="F50" s="699">
        <v>0</v>
      </c>
      <c r="G50" s="16"/>
      <c r="H50" s="44">
        <f t="shared" si="0"/>
        <v>0</v>
      </c>
      <c r="I50" s="16"/>
      <c r="J50" s="16"/>
      <c r="K50" s="16"/>
      <c r="L50" s="52" t="e">
        <f t="shared" si="1"/>
        <v>#DIV/0!</v>
      </c>
      <c r="M50" s="16"/>
      <c r="N50" s="52" t="e">
        <f t="shared" si="2"/>
        <v>#DIV/0!</v>
      </c>
      <c r="O50" s="52" t="e">
        <f t="shared" si="3"/>
        <v>#DIV/0!</v>
      </c>
      <c r="P50" s="16">
        <f>VLOOKUP(A50,'Gastos Proyecciones'!$A$10:$T$198,LOOKUP(Ingresos!$O$190,'Gastos Proyecciones'!$C$10:$T$10,'Gastos Proyecciones'!$C$205:$T$205),FALSE)</f>
        <v>0</v>
      </c>
    </row>
    <row r="51" spans="1:16">
      <c r="A51" s="53" t="s">
        <v>1111</v>
      </c>
      <c r="B51" s="54"/>
      <c r="C51" s="439" t="s">
        <v>1112</v>
      </c>
      <c r="D51" s="737">
        <f>VLOOKUP(A51,'Gastos Proyecciones'!$A$10:$T$198,LOOKUP($D$22,'Gastos Proyecciones'!$C$10:$T$10,'Gastos Proyecciones'!$C$205:$T$205),FALSE)</f>
        <v>41977.520000000004</v>
      </c>
      <c r="E51" s="16"/>
      <c r="F51" s="699">
        <v>0</v>
      </c>
      <c r="G51" s="16"/>
      <c r="H51" s="44">
        <f t="shared" si="0"/>
        <v>0</v>
      </c>
      <c r="I51" s="16"/>
      <c r="J51" s="16"/>
      <c r="K51" s="16"/>
      <c r="L51" s="52" t="e">
        <f t="shared" si="1"/>
        <v>#DIV/0!</v>
      </c>
      <c r="M51" s="16"/>
      <c r="N51" s="52" t="e">
        <f t="shared" si="2"/>
        <v>#DIV/0!</v>
      </c>
      <c r="O51" s="52">
        <f t="shared" si="3"/>
        <v>0</v>
      </c>
      <c r="P51" s="16">
        <f>VLOOKUP(A51,'Gastos Proyecciones'!$A$10:$T$198,LOOKUP(Ingresos!$O$190,'Gastos Proyecciones'!$C$10:$T$10,'Gastos Proyecciones'!$C$205:$T$205),FALSE)</f>
        <v>41977.520000000004</v>
      </c>
    </row>
    <row r="52" spans="1:16" hidden="1">
      <c r="A52" s="53" t="s">
        <v>1113</v>
      </c>
      <c r="B52" s="54"/>
      <c r="C52" s="438" t="s">
        <v>1114</v>
      </c>
      <c r="D52" s="736">
        <f>+D53+D54+D57+D55+D56</f>
        <v>0</v>
      </c>
      <c r="E52" s="736">
        <f>+E53+E54+E57+E55+E56</f>
        <v>0</v>
      </c>
      <c r="F52" s="736">
        <f>+F53+F54+F57+F55+F56</f>
        <v>0</v>
      </c>
      <c r="G52" s="736">
        <f>+G53+G54+G57+G55+G56</f>
        <v>0</v>
      </c>
      <c r="H52" s="32">
        <f t="shared" si="0"/>
        <v>0</v>
      </c>
      <c r="I52" s="736">
        <f>+I53+I54+I57+I55+I56</f>
        <v>0</v>
      </c>
      <c r="J52" s="736">
        <f>+J53+J54+J57+J55+J56</f>
        <v>0</v>
      </c>
      <c r="K52" s="736">
        <f>+K53+K54+K57+K55+K56</f>
        <v>0</v>
      </c>
      <c r="L52" s="50" t="e">
        <f t="shared" si="1"/>
        <v>#DIV/0!</v>
      </c>
      <c r="M52" s="736">
        <f>+M53+M54+M57+M55+M56</f>
        <v>0</v>
      </c>
      <c r="N52" s="50" t="e">
        <f t="shared" si="2"/>
        <v>#DIV/0!</v>
      </c>
      <c r="O52" s="50" t="e">
        <f t="shared" si="3"/>
        <v>#DIV/0!</v>
      </c>
      <c r="P52" s="736">
        <f>+P53+P54+P57+P55+P56</f>
        <v>0</v>
      </c>
    </row>
    <row r="53" spans="1:16" s="43" customFormat="1" hidden="1">
      <c r="A53" s="54" t="s">
        <v>1115</v>
      </c>
      <c r="B53" s="54"/>
      <c r="C53" s="839" t="s">
        <v>1116</v>
      </c>
      <c r="D53" s="737">
        <f>VLOOKUP(A53,'Gastos Proyecciones'!$A$10:$T$198,LOOKUP($D$22,'Gastos Proyecciones'!$C$10:$T$10,'Gastos Proyecciones'!$C$205:$T$205),FALSE)</f>
        <v>0</v>
      </c>
      <c r="E53" s="16"/>
      <c r="F53" s="699">
        <v>0</v>
      </c>
      <c r="G53" s="16"/>
      <c r="H53" s="44">
        <f t="shared" si="0"/>
        <v>0</v>
      </c>
      <c r="I53" s="16"/>
      <c r="J53" s="16"/>
      <c r="K53" s="16"/>
      <c r="L53" s="52" t="e">
        <f t="shared" si="1"/>
        <v>#DIV/0!</v>
      </c>
      <c r="M53" s="16"/>
      <c r="N53" s="52" t="e">
        <f t="shared" si="2"/>
        <v>#DIV/0!</v>
      </c>
      <c r="O53" s="52" t="e">
        <f t="shared" si="3"/>
        <v>#DIV/0!</v>
      </c>
      <c r="P53" s="16">
        <f>VLOOKUP(A53,'Gastos Proyecciones'!$A$10:$T$198,LOOKUP(Ingresos!$O$190,'Gastos Proyecciones'!$C$10:$T$10,'Gastos Proyecciones'!$C$205:$T$205),FALSE)</f>
        <v>0</v>
      </c>
    </row>
    <row r="54" spans="1:16" hidden="1">
      <c r="A54" s="54" t="s">
        <v>1117</v>
      </c>
      <c r="B54" s="54"/>
      <c r="C54" s="439" t="s">
        <v>1118</v>
      </c>
      <c r="D54" s="737">
        <f>VLOOKUP(A54,'Gastos Proyecciones'!$A$10:$T$198,LOOKUP($D$22,'Gastos Proyecciones'!$C$10:$T$10,'Gastos Proyecciones'!$C$205:$T$205),FALSE)</f>
        <v>0</v>
      </c>
      <c r="E54" s="16"/>
      <c r="F54" s="699">
        <v>0</v>
      </c>
      <c r="G54" s="16"/>
      <c r="H54" s="44">
        <f t="shared" si="0"/>
        <v>0</v>
      </c>
      <c r="I54" s="16"/>
      <c r="J54" s="16"/>
      <c r="K54" s="16"/>
      <c r="L54" s="55" t="e">
        <f t="shared" si="1"/>
        <v>#DIV/0!</v>
      </c>
      <c r="M54" s="16"/>
      <c r="N54" s="55" t="e">
        <f t="shared" si="2"/>
        <v>#DIV/0!</v>
      </c>
      <c r="O54" s="50" t="e">
        <f t="shared" si="3"/>
        <v>#DIV/0!</v>
      </c>
      <c r="P54" s="16">
        <f>VLOOKUP(A54,'Gastos Proyecciones'!$A$10:$T$198,LOOKUP(Ingresos!$O$190,'Gastos Proyecciones'!$C$10:$T$10,'Gastos Proyecciones'!$C$205:$T$205),FALSE)</f>
        <v>0</v>
      </c>
    </row>
    <row r="55" spans="1:16" hidden="1">
      <c r="A55" s="54" t="s">
        <v>1119</v>
      </c>
      <c r="B55" s="54"/>
      <c r="C55" s="439" t="s">
        <v>1120</v>
      </c>
      <c r="D55" s="737">
        <f>VLOOKUP(A55,'Gastos Proyecciones'!$A$10:$T$198,LOOKUP($D$22,'Gastos Proyecciones'!$C$10:$T$10,'Gastos Proyecciones'!$C$205:$T$205),FALSE)</f>
        <v>0</v>
      </c>
      <c r="E55" s="16"/>
      <c r="F55" s="699">
        <v>0</v>
      </c>
      <c r="G55" s="16"/>
      <c r="H55" s="44">
        <f t="shared" si="0"/>
        <v>0</v>
      </c>
      <c r="I55" s="16"/>
      <c r="J55" s="16"/>
      <c r="K55" s="16"/>
      <c r="L55" s="52" t="e">
        <f t="shared" si="1"/>
        <v>#DIV/0!</v>
      </c>
      <c r="M55" s="16"/>
      <c r="N55" s="52" t="e">
        <f t="shared" si="2"/>
        <v>#DIV/0!</v>
      </c>
      <c r="O55" s="52" t="e">
        <f t="shared" si="3"/>
        <v>#DIV/0!</v>
      </c>
      <c r="P55" s="16">
        <f>VLOOKUP(A55,'Gastos Proyecciones'!$A$10:$T$198,LOOKUP(Ingresos!$O$190,'Gastos Proyecciones'!$C$10:$T$10,'Gastos Proyecciones'!$C$205:$T$205),FALSE)</f>
        <v>0</v>
      </c>
    </row>
    <row r="56" spans="1:16" hidden="1">
      <c r="A56" s="54" t="s">
        <v>1121</v>
      </c>
      <c r="B56" s="54"/>
      <c r="C56" s="439" t="s">
        <v>1122</v>
      </c>
      <c r="D56" s="737">
        <f>VLOOKUP(A56,'Gastos Proyecciones'!$A$10:$T$198,LOOKUP($D$22,'Gastos Proyecciones'!$C$10:$T$10,'Gastos Proyecciones'!$C$205:$T$205),FALSE)</f>
        <v>0</v>
      </c>
      <c r="E56" s="16"/>
      <c r="F56" s="699">
        <v>0</v>
      </c>
      <c r="G56" s="16"/>
      <c r="H56" s="44">
        <f t="shared" si="0"/>
        <v>0</v>
      </c>
      <c r="I56" s="16"/>
      <c r="J56" s="16"/>
      <c r="K56" s="16"/>
      <c r="L56" s="52" t="e">
        <f t="shared" si="1"/>
        <v>#DIV/0!</v>
      </c>
      <c r="M56" s="16"/>
      <c r="N56" s="52" t="e">
        <f t="shared" si="2"/>
        <v>#DIV/0!</v>
      </c>
      <c r="O56" s="52" t="e">
        <f t="shared" si="3"/>
        <v>#DIV/0!</v>
      </c>
      <c r="P56" s="16">
        <f>VLOOKUP(A56,'Gastos Proyecciones'!$A$10:$T$198,LOOKUP(Ingresos!$O$190,'Gastos Proyecciones'!$C$10:$T$10,'Gastos Proyecciones'!$C$205:$T$205),FALSE)</f>
        <v>0</v>
      </c>
    </row>
    <row r="57" spans="1:16" hidden="1">
      <c r="A57" s="54" t="s">
        <v>1123</v>
      </c>
      <c r="B57" s="54"/>
      <c r="C57" s="439" t="s">
        <v>1124</v>
      </c>
      <c r="D57" s="737">
        <f>VLOOKUP(A57,'Gastos Proyecciones'!$A$10:$T$198,LOOKUP($D$22,'Gastos Proyecciones'!$C$10:$T$10,'Gastos Proyecciones'!$C$205:$T$205),FALSE)</f>
        <v>0</v>
      </c>
      <c r="E57" s="16"/>
      <c r="F57" s="699">
        <v>0</v>
      </c>
      <c r="G57" s="16"/>
      <c r="H57" s="44">
        <f t="shared" si="0"/>
        <v>0</v>
      </c>
      <c r="I57" s="16"/>
      <c r="J57" s="16"/>
      <c r="K57" s="16"/>
      <c r="L57" s="55" t="e">
        <f t="shared" si="1"/>
        <v>#DIV/0!</v>
      </c>
      <c r="M57" s="16"/>
      <c r="N57" s="55" t="e">
        <f t="shared" si="2"/>
        <v>#DIV/0!</v>
      </c>
      <c r="O57" s="50" t="e">
        <f t="shared" si="3"/>
        <v>#DIV/0!</v>
      </c>
      <c r="P57" s="16">
        <f>VLOOKUP(A57,'Gastos Proyecciones'!$A$10:$T$198,LOOKUP(Ingresos!$O$190,'Gastos Proyecciones'!$C$10:$T$10,'Gastos Proyecciones'!$C$205:$T$205),FALSE)</f>
        <v>0</v>
      </c>
    </row>
    <row r="58" spans="1:16" hidden="1">
      <c r="A58" s="47" t="s">
        <v>1125</v>
      </c>
      <c r="B58" s="54"/>
      <c r="C58" s="438" t="s">
        <v>1126</v>
      </c>
      <c r="D58" s="736">
        <f>+D59+D63</f>
        <v>0</v>
      </c>
      <c r="E58" s="32">
        <f>+E59+E63</f>
        <v>0</v>
      </c>
      <c r="F58" s="61" t="e">
        <f>+#REF!+#REF!+#REF!-#REF!-#REF!</f>
        <v>#REF!</v>
      </c>
      <c r="G58" s="32">
        <f>+G59+G63</f>
        <v>0</v>
      </c>
      <c r="H58" s="32">
        <f t="shared" si="0"/>
        <v>0</v>
      </c>
      <c r="I58" s="32">
        <f>+I59+I63</f>
        <v>0</v>
      </c>
      <c r="J58" s="32">
        <f>+J59+J63</f>
        <v>0</v>
      </c>
      <c r="K58" s="32">
        <f>+K59+K63</f>
        <v>0</v>
      </c>
      <c r="L58" s="50" t="e">
        <f t="shared" si="1"/>
        <v>#DIV/0!</v>
      </c>
      <c r="M58" s="32">
        <f>+M59+M63</f>
        <v>0</v>
      </c>
      <c r="N58" s="50" t="e">
        <f t="shared" si="2"/>
        <v>#DIV/0!</v>
      </c>
      <c r="O58" s="50" t="e">
        <f t="shared" si="3"/>
        <v>#DIV/0!</v>
      </c>
      <c r="P58" s="32">
        <f>+P59+P63</f>
        <v>0</v>
      </c>
    </row>
    <row r="59" spans="1:16" hidden="1">
      <c r="A59" s="47" t="s">
        <v>1127</v>
      </c>
      <c r="B59" s="54"/>
      <c r="C59" s="438" t="s">
        <v>1106</v>
      </c>
      <c r="D59" s="736">
        <f>SUM(D60:D62)</f>
        <v>0</v>
      </c>
      <c r="E59" s="32">
        <f>SUM(E60:E62)</f>
        <v>0</v>
      </c>
      <c r="F59" s="61" t="e">
        <f>+#REF!+#REF!+#REF!-#REF!-#REF!</f>
        <v>#REF!</v>
      </c>
      <c r="G59" s="32">
        <f>SUM(G60:G62)</f>
        <v>0</v>
      </c>
      <c r="H59" s="32">
        <f t="shared" si="0"/>
        <v>0</v>
      </c>
      <c r="I59" s="32">
        <f>SUM(I60:I62)</f>
        <v>0</v>
      </c>
      <c r="J59" s="32">
        <f>SUM(J60:J62)</f>
        <v>0</v>
      </c>
      <c r="K59" s="32">
        <f>SUM(K60:K62)</f>
        <v>0</v>
      </c>
      <c r="L59" s="50" t="e">
        <f t="shared" si="1"/>
        <v>#DIV/0!</v>
      </c>
      <c r="M59" s="32">
        <f>SUM(M60:M62)</f>
        <v>0</v>
      </c>
      <c r="N59" s="50" t="e">
        <f t="shared" si="2"/>
        <v>#DIV/0!</v>
      </c>
      <c r="O59" s="50" t="e">
        <f t="shared" si="3"/>
        <v>#DIV/0!</v>
      </c>
      <c r="P59" s="32">
        <f>SUM(P60:P62)</f>
        <v>0</v>
      </c>
    </row>
    <row r="60" spans="1:16" hidden="1">
      <c r="A60" s="53" t="s">
        <v>1128</v>
      </c>
      <c r="B60" s="54"/>
      <c r="C60" s="439" t="s">
        <v>1108</v>
      </c>
      <c r="D60" s="737">
        <f>VLOOKUP(A60,'Gastos Proyecciones'!$A$10:$T$198,LOOKUP($D$22,'Gastos Proyecciones'!$C$10:$T$10,'Gastos Proyecciones'!$C$205:$T$205),FALSE)</f>
        <v>0</v>
      </c>
      <c r="E60" s="16"/>
      <c r="F60" s="699">
        <v>0</v>
      </c>
      <c r="G60" s="16"/>
      <c r="H60" s="44">
        <f t="shared" si="0"/>
        <v>0</v>
      </c>
      <c r="I60" s="16"/>
      <c r="J60" s="16"/>
      <c r="K60" s="16"/>
      <c r="L60" s="52" t="e">
        <f t="shared" si="1"/>
        <v>#DIV/0!</v>
      </c>
      <c r="M60" s="16"/>
      <c r="N60" s="52" t="e">
        <f t="shared" si="2"/>
        <v>#DIV/0!</v>
      </c>
      <c r="O60" s="52" t="e">
        <f t="shared" si="3"/>
        <v>#DIV/0!</v>
      </c>
      <c r="P60" s="16">
        <f>VLOOKUP(A60,'Gastos Proyecciones'!$A$10:$T$198,LOOKUP(Ingresos!$O$190,'Gastos Proyecciones'!$C$10:$T$10,'Gastos Proyecciones'!$C$205:$T$205),FALSE)</f>
        <v>0</v>
      </c>
    </row>
    <row r="61" spans="1:16" hidden="1">
      <c r="A61" s="53" t="s">
        <v>1129</v>
      </c>
      <c r="B61" s="54"/>
      <c r="C61" s="439" t="s">
        <v>1110</v>
      </c>
      <c r="D61" s="737">
        <f>VLOOKUP(A61,'Gastos Proyecciones'!$A$10:$T$198,LOOKUP($D$22,'Gastos Proyecciones'!$C$10:$T$10,'Gastos Proyecciones'!$C$205:$T$205),FALSE)</f>
        <v>0</v>
      </c>
      <c r="E61" s="16"/>
      <c r="F61" s="699">
        <v>0</v>
      </c>
      <c r="G61" s="16"/>
      <c r="H61" s="44">
        <f t="shared" si="0"/>
        <v>0</v>
      </c>
      <c r="I61" s="16"/>
      <c r="J61" s="16"/>
      <c r="K61" s="16"/>
      <c r="L61" s="52" t="e">
        <f t="shared" si="1"/>
        <v>#DIV/0!</v>
      </c>
      <c r="M61" s="16"/>
      <c r="N61" s="52" t="e">
        <f t="shared" si="2"/>
        <v>#DIV/0!</v>
      </c>
      <c r="O61" s="52" t="e">
        <f t="shared" si="3"/>
        <v>#DIV/0!</v>
      </c>
      <c r="P61" s="16">
        <f>VLOOKUP(A61,'Gastos Proyecciones'!$A$10:$T$198,LOOKUP(Ingresos!$O$190,'Gastos Proyecciones'!$C$10:$T$10,'Gastos Proyecciones'!$C$205:$T$205),FALSE)</f>
        <v>0</v>
      </c>
    </row>
    <row r="62" spans="1:16" hidden="1">
      <c r="A62" s="53" t="s">
        <v>1130</v>
      </c>
      <c r="B62" s="54"/>
      <c r="C62" s="439" t="s">
        <v>1112</v>
      </c>
      <c r="D62" s="737">
        <f>VLOOKUP(A62,'Gastos Proyecciones'!$A$10:$T$198,LOOKUP($D$22,'Gastos Proyecciones'!$C$10:$T$10,'Gastos Proyecciones'!$C$205:$T$205),FALSE)</f>
        <v>0</v>
      </c>
      <c r="E62" s="16"/>
      <c r="F62" s="699">
        <v>0</v>
      </c>
      <c r="G62" s="16"/>
      <c r="H62" s="44">
        <f t="shared" si="0"/>
        <v>0</v>
      </c>
      <c r="I62" s="16"/>
      <c r="J62" s="16"/>
      <c r="K62" s="16"/>
      <c r="L62" s="52" t="e">
        <f t="shared" si="1"/>
        <v>#DIV/0!</v>
      </c>
      <c r="M62" s="16"/>
      <c r="N62" s="52" t="e">
        <f t="shared" si="2"/>
        <v>#DIV/0!</v>
      </c>
      <c r="O62" s="52" t="e">
        <f t="shared" si="3"/>
        <v>#DIV/0!</v>
      </c>
      <c r="P62" s="16">
        <f>VLOOKUP(A62,'Gastos Proyecciones'!$A$10:$T$198,LOOKUP(Ingresos!$O$190,'Gastos Proyecciones'!$C$10:$T$10,'Gastos Proyecciones'!$C$205:$T$205),FALSE)</f>
        <v>0</v>
      </c>
    </row>
    <row r="63" spans="1:16" hidden="1">
      <c r="A63" s="53" t="s">
        <v>1131</v>
      </c>
      <c r="B63" s="54"/>
      <c r="C63" s="906" t="s">
        <v>1132</v>
      </c>
      <c r="D63" s="737">
        <f>VLOOKUP(A63,'Gastos Proyecciones'!$A$10:$T$198,LOOKUP($D$22,'Gastos Proyecciones'!$C$10:$T$10,'Gastos Proyecciones'!$C$205:$T$205),FALSE)</f>
        <v>0</v>
      </c>
      <c r="E63" s="16"/>
      <c r="F63" s="699">
        <v>0</v>
      </c>
      <c r="G63" s="16"/>
      <c r="H63" s="44">
        <f t="shared" si="0"/>
        <v>0</v>
      </c>
      <c r="I63" s="16"/>
      <c r="J63" s="16"/>
      <c r="K63" s="16"/>
      <c r="L63" s="52" t="e">
        <f t="shared" si="1"/>
        <v>#DIV/0!</v>
      </c>
      <c r="M63" s="16"/>
      <c r="N63" s="52" t="e">
        <f t="shared" si="2"/>
        <v>#DIV/0!</v>
      </c>
      <c r="O63" s="52" t="e">
        <f t="shared" si="3"/>
        <v>#DIV/0!</v>
      </c>
      <c r="P63" s="16">
        <f>VLOOKUP(A63,'Gastos Proyecciones'!$A$10:$T$198,LOOKUP(Ingresos!$O$190,'Gastos Proyecciones'!$C$10:$T$10,'Gastos Proyecciones'!$C$205:$T$205),FALSE)</f>
        <v>0</v>
      </c>
    </row>
    <row r="64" spans="1:16" hidden="1">
      <c r="A64" s="53" t="s">
        <v>1133</v>
      </c>
      <c r="B64" s="54"/>
      <c r="C64" s="438" t="s">
        <v>1134</v>
      </c>
      <c r="D64" s="737">
        <f>VLOOKUP(A64,'Gastos Proyecciones'!$A$10:$T$198,LOOKUP($D$22,'Gastos Proyecciones'!$C$10:$T$10,'Gastos Proyecciones'!$C$205:$T$205),FALSE)</f>
        <v>0</v>
      </c>
      <c r="E64" s="16"/>
      <c r="F64" s="699">
        <v>0</v>
      </c>
      <c r="G64" s="16"/>
      <c r="H64" s="44">
        <f t="shared" si="0"/>
        <v>0</v>
      </c>
      <c r="I64" s="16"/>
      <c r="J64" s="16"/>
      <c r="K64" s="16"/>
      <c r="L64" s="52" t="e">
        <f t="shared" si="1"/>
        <v>#DIV/0!</v>
      </c>
      <c r="M64" s="16"/>
      <c r="N64" s="52" t="e">
        <f t="shared" si="2"/>
        <v>#DIV/0!</v>
      </c>
      <c r="O64" s="52" t="e">
        <f t="shared" si="3"/>
        <v>#DIV/0!</v>
      </c>
      <c r="P64" s="16">
        <f>VLOOKUP(A64,'Gastos Proyecciones'!$A$10:$T$198,LOOKUP(Ingresos!$O$190,'Gastos Proyecciones'!$C$10:$T$10,'Gastos Proyecciones'!$C$205:$T$205),FALSE)</f>
        <v>0</v>
      </c>
    </row>
    <row r="65" spans="1:16">
      <c r="A65" s="47" t="s">
        <v>1135</v>
      </c>
      <c r="B65" s="56"/>
      <c r="C65" s="438" t="s">
        <v>917</v>
      </c>
      <c r="D65" s="425">
        <f>VLOOKUP(A65,'Gastos Proyecciones'!$A$10:$T$198,LOOKUP($D$22,'Gastos Proyecciones'!$C$10:$T$10,'Gastos Proyecciones'!$C$205:$T$205),FALSE)</f>
        <v>10400</v>
      </c>
      <c r="E65" s="16"/>
      <c r="F65" s="699">
        <v>0</v>
      </c>
      <c r="G65" s="16"/>
      <c r="H65" s="44">
        <f t="shared" si="0"/>
        <v>0</v>
      </c>
      <c r="I65" s="16"/>
      <c r="J65" s="16"/>
      <c r="K65" s="16"/>
      <c r="L65" s="52" t="e">
        <f t="shared" si="1"/>
        <v>#DIV/0!</v>
      </c>
      <c r="M65" s="16"/>
      <c r="N65" s="52" t="e">
        <f t="shared" si="2"/>
        <v>#DIV/0!</v>
      </c>
      <c r="O65" s="52">
        <f t="shared" si="3"/>
        <v>0</v>
      </c>
      <c r="P65" s="16">
        <f>VLOOKUP(A65,'Gastos Proyecciones'!$A$10:$T$198,LOOKUP(Ingresos!$O$190,'Gastos Proyecciones'!$C$10:$T$10,'Gastos Proyecciones'!$C$205:$T$205),FALSE)</f>
        <v>10400</v>
      </c>
    </row>
    <row r="66" spans="1:16">
      <c r="A66" s="56" t="s">
        <v>1150</v>
      </c>
      <c r="B66" s="54"/>
      <c r="C66" s="438" t="s">
        <v>916</v>
      </c>
      <c r="D66" s="425">
        <f>VLOOKUP(A66,'Gastos Proyecciones'!$A$10:$T$198,LOOKUP($D$22,'Gastos Proyecciones'!$C$10:$T$10,'Gastos Proyecciones'!$C$205:$T$205),FALSE)</f>
        <v>27040</v>
      </c>
      <c r="E66" s="16"/>
      <c r="F66" s="699">
        <v>0</v>
      </c>
      <c r="G66" s="16"/>
      <c r="H66" s="44">
        <f t="shared" si="0"/>
        <v>0</v>
      </c>
      <c r="I66" s="16"/>
      <c r="J66" s="16"/>
      <c r="K66" s="16"/>
      <c r="L66" s="52" t="e">
        <f t="shared" si="1"/>
        <v>#DIV/0!</v>
      </c>
      <c r="M66" s="16"/>
      <c r="N66" s="52" t="e">
        <f t="shared" si="2"/>
        <v>#DIV/0!</v>
      </c>
      <c r="O66" s="52">
        <f t="shared" si="3"/>
        <v>0</v>
      </c>
      <c r="P66" s="16">
        <f>VLOOKUP(A66,'Gastos Proyecciones'!$A$10:$T$198,LOOKUP(Ingresos!$O$190,'Gastos Proyecciones'!$C$10:$T$10,'Gastos Proyecciones'!$C$205:$T$205),FALSE)</f>
        <v>27040</v>
      </c>
    </row>
    <row r="67" spans="1:16">
      <c r="A67" s="56"/>
      <c r="B67" s="54"/>
      <c r="C67" s="438"/>
      <c r="D67" s="425"/>
      <c r="E67" s="16"/>
      <c r="F67" s="699"/>
      <c r="G67" s="16"/>
      <c r="H67" s="44"/>
      <c r="I67" s="16"/>
      <c r="J67" s="16"/>
      <c r="K67" s="16"/>
      <c r="L67" s="52"/>
      <c r="M67" s="16"/>
      <c r="N67" s="52"/>
      <c r="O67" s="52"/>
      <c r="P67" s="16"/>
    </row>
    <row r="68" spans="1:16">
      <c r="A68" s="56" t="s">
        <v>1151</v>
      </c>
      <c r="B68" s="54"/>
      <c r="C68" s="438" t="s">
        <v>1152</v>
      </c>
      <c r="D68" s="737">
        <f>VLOOKUP(A68,'Gastos Proyecciones'!$A$10:$T$198,LOOKUP($D$22,'Gastos Proyecciones'!$C$10:$T$10,'Gastos Proyecciones'!$C$205:$T$205),FALSE)</f>
        <v>62400</v>
      </c>
      <c r="E68" s="16"/>
      <c r="F68" s="699">
        <v>0</v>
      </c>
      <c r="G68" s="16"/>
      <c r="H68" s="44">
        <f t="shared" si="0"/>
        <v>0</v>
      </c>
      <c r="I68" s="16"/>
      <c r="J68" s="16"/>
      <c r="K68" s="16"/>
      <c r="L68" s="52" t="e">
        <f t="shared" si="1"/>
        <v>#DIV/0!</v>
      </c>
      <c r="M68" s="16"/>
      <c r="N68" s="52" t="e">
        <f t="shared" si="2"/>
        <v>#DIV/0!</v>
      </c>
      <c r="O68" s="52">
        <f t="shared" si="3"/>
        <v>0</v>
      </c>
      <c r="P68" s="16">
        <f>VLOOKUP(A68,'Gastos Proyecciones'!$A$10:$T$198,LOOKUP(Ingresos!$O$190,'Gastos Proyecciones'!$C$10:$T$10,'Gastos Proyecciones'!$C$205:$T$205),FALSE)</f>
        <v>62400</v>
      </c>
    </row>
    <row r="69" spans="1:16">
      <c r="A69" s="56"/>
      <c r="B69" s="54"/>
      <c r="C69" s="438"/>
      <c r="D69" s="737"/>
      <c r="E69" s="16"/>
      <c r="F69" s="699"/>
      <c r="G69" s="16"/>
      <c r="H69" s="44"/>
      <c r="I69" s="16"/>
      <c r="J69" s="16"/>
      <c r="K69" s="16"/>
      <c r="L69" s="52"/>
      <c r="M69" s="16"/>
      <c r="N69" s="52"/>
      <c r="O69" s="52"/>
      <c r="P69" s="16"/>
    </row>
    <row r="70" spans="1:16">
      <c r="A70" s="47" t="s">
        <v>1153</v>
      </c>
      <c r="B70" s="54"/>
      <c r="C70" s="440" t="s">
        <v>915</v>
      </c>
      <c r="D70" s="425">
        <f>VLOOKUP(A70,'Gastos Proyecciones'!$A$10:$T$198,LOOKUP($D$22,'Gastos Proyecciones'!$C$10:$T$10,'Gastos Proyecciones'!$C$205:$T$205),FALSE)</f>
        <v>6240</v>
      </c>
      <c r="E70" s="16"/>
      <c r="F70" s="699">
        <v>0</v>
      </c>
      <c r="G70" s="16"/>
      <c r="H70" s="44">
        <f t="shared" si="0"/>
        <v>0</v>
      </c>
      <c r="I70" s="16"/>
      <c r="J70" s="16"/>
      <c r="K70" s="16"/>
      <c r="L70" s="52" t="e">
        <f t="shared" si="1"/>
        <v>#DIV/0!</v>
      </c>
      <c r="M70" s="16"/>
      <c r="N70" s="52" t="e">
        <f t="shared" si="2"/>
        <v>#DIV/0!</v>
      </c>
      <c r="O70" s="52">
        <f t="shared" si="3"/>
        <v>0</v>
      </c>
      <c r="P70" s="16">
        <f>VLOOKUP(A70,'Gastos Proyecciones'!$A$10:$T$198,LOOKUP(Ingresos!$O$190,'Gastos Proyecciones'!$C$10:$T$10,'Gastos Proyecciones'!$C$205:$T$205),FALSE)</f>
        <v>6240</v>
      </c>
    </row>
    <row r="71" spans="1:16">
      <c r="A71" s="56" t="s">
        <v>1155</v>
      </c>
      <c r="B71" s="54"/>
      <c r="C71" s="440" t="s">
        <v>1156</v>
      </c>
      <c r="D71" s="32">
        <f>SUM(D72:D73)</f>
        <v>0</v>
      </c>
      <c r="E71" s="32">
        <f>SUM(E72:E73)</f>
        <v>0</v>
      </c>
      <c r="F71" s="32">
        <v>0</v>
      </c>
      <c r="G71" s="32">
        <f>SUM(G72:G73)</f>
        <v>0</v>
      </c>
      <c r="H71" s="32">
        <f t="shared" si="0"/>
        <v>0</v>
      </c>
      <c r="I71" s="32">
        <f>SUM(I72:I73)</f>
        <v>0</v>
      </c>
      <c r="J71" s="32">
        <f>SUM(J72:J73)</f>
        <v>0</v>
      </c>
      <c r="K71" s="32">
        <f>SUM(K72:K73)</f>
        <v>0</v>
      </c>
      <c r="L71" s="50" t="e">
        <f t="shared" si="1"/>
        <v>#DIV/0!</v>
      </c>
      <c r="M71" s="32">
        <f>SUM(M72:M73)</f>
        <v>0</v>
      </c>
      <c r="N71" s="50" t="e">
        <f t="shared" si="2"/>
        <v>#DIV/0!</v>
      </c>
      <c r="O71" s="50" t="e">
        <f t="shared" si="3"/>
        <v>#DIV/0!</v>
      </c>
      <c r="P71" s="32">
        <f>SUM(P72:P73)</f>
        <v>0</v>
      </c>
    </row>
    <row r="72" spans="1:16">
      <c r="A72" s="57" t="s">
        <v>1157</v>
      </c>
      <c r="B72" s="54"/>
      <c r="C72" s="839" t="s">
        <v>1158</v>
      </c>
      <c r="D72" s="425">
        <f>VLOOKUP(A72,'Gastos Proyecciones'!$A$10:$T$198,LOOKUP($D$22,'Gastos Proyecciones'!$C$10:$T$10,'Gastos Proyecciones'!$C$205:$T$205),FALSE)</f>
        <v>0</v>
      </c>
      <c r="E72" s="919"/>
      <c r="F72" s="919"/>
      <c r="G72" s="919"/>
      <c r="H72" s="44">
        <f t="shared" si="0"/>
        <v>0</v>
      </c>
      <c r="I72" s="919"/>
      <c r="J72" s="44">
        <f>+'Pasivo a Cancelar y Deuda'!F27</f>
        <v>0</v>
      </c>
      <c r="K72" s="44">
        <f>+'Pasivo a Cancelar y Deuda'!H27</f>
        <v>0</v>
      </c>
      <c r="L72" s="52" t="e">
        <f t="shared" si="1"/>
        <v>#DIV/0!</v>
      </c>
      <c r="M72" s="16"/>
      <c r="N72" s="52" t="e">
        <f t="shared" si="2"/>
        <v>#DIV/0!</v>
      </c>
      <c r="O72" s="52" t="e">
        <f t="shared" si="3"/>
        <v>#DIV/0!</v>
      </c>
      <c r="P72" s="919">
        <f>VLOOKUP(A72,'Gastos Proyecciones'!$A$10:$T$198,LOOKUP(Ingresos!$O$190,'Gastos Proyecciones'!$C$10:$T$10,'Gastos Proyecciones'!$C$205:$T$205),FALSE)</f>
        <v>0</v>
      </c>
    </row>
    <row r="73" spans="1:16">
      <c r="A73" s="57" t="s">
        <v>1159</v>
      </c>
      <c r="B73" s="54"/>
      <c r="C73" s="839" t="s">
        <v>1160</v>
      </c>
      <c r="D73" s="425">
        <f>VLOOKUP(A73,'Gastos Proyecciones'!$A$10:$T$198,LOOKUP($D$22,'Gastos Proyecciones'!$C$10:$T$10,'Gastos Proyecciones'!$C$205:$T$205),FALSE)</f>
        <v>0</v>
      </c>
      <c r="E73" s="919"/>
      <c r="F73" s="919"/>
      <c r="G73" s="919"/>
      <c r="H73" s="44">
        <f t="shared" si="0"/>
        <v>0</v>
      </c>
      <c r="I73" s="919"/>
      <c r="J73" s="44">
        <f>+'Pasivo a Cancelar y Deuda'!G27</f>
        <v>0</v>
      </c>
      <c r="K73" s="44">
        <f>+'Pasivo a Cancelar y Deuda'!I27</f>
        <v>0</v>
      </c>
      <c r="L73" s="52" t="e">
        <f t="shared" si="1"/>
        <v>#DIV/0!</v>
      </c>
      <c r="M73" s="16"/>
      <c r="N73" s="52" t="e">
        <f t="shared" si="2"/>
        <v>#DIV/0!</v>
      </c>
      <c r="O73" s="52" t="e">
        <f t="shared" si="3"/>
        <v>#DIV/0!</v>
      </c>
      <c r="P73" s="919">
        <f>VLOOKUP(A73,'Gastos Proyecciones'!$A$10:$T$198,LOOKUP(Ingresos!$O$190,'Gastos Proyecciones'!$C$10:$T$10,'Gastos Proyecciones'!$C$205:$T$205),FALSE)</f>
        <v>0</v>
      </c>
    </row>
    <row r="74" spans="1:16">
      <c r="A74" s="397" t="s">
        <v>1161</v>
      </c>
      <c r="B74" s="735"/>
      <c r="C74" s="442" t="s">
        <v>1162</v>
      </c>
      <c r="D74" s="32">
        <f>+D75+D127+D164+D200</f>
        <v>5246949.2399999993</v>
      </c>
      <c r="E74" s="32">
        <f>+E75+E127+E164+E200</f>
        <v>0</v>
      </c>
      <c r="F74" s="32" t="e">
        <f>+F75+F90+F127+F164+F200</f>
        <v>#REF!</v>
      </c>
      <c r="G74" s="32">
        <f>+G75+G127+G164+G200</f>
        <v>0</v>
      </c>
      <c r="H74" s="32">
        <f t="shared" si="0"/>
        <v>0</v>
      </c>
      <c r="I74" s="32">
        <f>+I75+I127+I164+I200</f>
        <v>0</v>
      </c>
      <c r="J74" s="32">
        <f>+J75+J127+J164+J200</f>
        <v>0</v>
      </c>
      <c r="K74" s="32">
        <f>+K75+K127+K164+K200</f>
        <v>0</v>
      </c>
      <c r="L74" s="50" t="e">
        <f t="shared" si="1"/>
        <v>#DIV/0!</v>
      </c>
      <c r="M74" s="32">
        <f>+M75+M127+M164+M200</f>
        <v>0</v>
      </c>
      <c r="N74" s="50" t="e">
        <f t="shared" si="2"/>
        <v>#DIV/0!</v>
      </c>
      <c r="O74" s="50">
        <f t="shared" si="3"/>
        <v>0</v>
      </c>
      <c r="P74" s="32">
        <f>+P75+P127+P164+P200</f>
        <v>5246949.2399999993</v>
      </c>
    </row>
    <row r="75" spans="1:16">
      <c r="A75" s="56" t="s">
        <v>1176</v>
      </c>
      <c r="B75" s="75"/>
      <c r="C75" s="440" t="s">
        <v>1177</v>
      </c>
      <c r="D75" s="32">
        <f>+D76+D83+D90</f>
        <v>5068464.4399999995</v>
      </c>
      <c r="E75" s="32">
        <f>+E76+E83+E90</f>
        <v>0</v>
      </c>
      <c r="F75" s="736" t="e">
        <f>+E72+#REF!+#REF!-#REF!-#REF!</f>
        <v>#REF!</v>
      </c>
      <c r="G75" s="32">
        <f>+G76+G83+G90</f>
        <v>0</v>
      </c>
      <c r="H75" s="32">
        <f t="shared" si="0"/>
        <v>0</v>
      </c>
      <c r="I75" s="32">
        <f>+I76+I83+I90</f>
        <v>0</v>
      </c>
      <c r="J75" s="32">
        <f>+J76+J83+J90</f>
        <v>0</v>
      </c>
      <c r="K75" s="32">
        <f>+K76+K83+K90</f>
        <v>0</v>
      </c>
      <c r="L75" s="50" t="e">
        <f t="shared" si="1"/>
        <v>#DIV/0!</v>
      </c>
      <c r="M75" s="32">
        <f>+M76+M83+M90</f>
        <v>0</v>
      </c>
      <c r="N75" s="50" t="e">
        <f t="shared" si="2"/>
        <v>#DIV/0!</v>
      </c>
      <c r="O75" s="50">
        <f t="shared" si="3"/>
        <v>0</v>
      </c>
      <c r="P75" s="32">
        <f>+P76+P83+P90</f>
        <v>5068464.4399999995</v>
      </c>
    </row>
    <row r="76" spans="1:16">
      <c r="A76" s="398" t="s">
        <v>1178</v>
      </c>
      <c r="B76" s="735"/>
      <c r="C76" s="440" t="s">
        <v>1179</v>
      </c>
      <c r="D76" s="32">
        <f>SUM(D77:D82)</f>
        <v>525314.4</v>
      </c>
      <c r="E76" s="32">
        <f>SUM(E77:E82)</f>
        <v>0</v>
      </c>
      <c r="F76" s="32" t="e">
        <f>+F77+F104+F146+F189+#REF!</f>
        <v>#REF!</v>
      </c>
      <c r="G76" s="32">
        <f>SUM(G77:G82)</f>
        <v>0</v>
      </c>
      <c r="H76" s="32">
        <f t="shared" si="0"/>
        <v>0</v>
      </c>
      <c r="I76" s="32">
        <f>SUM(I77:I82)</f>
        <v>0</v>
      </c>
      <c r="J76" s="32">
        <f>SUM(J77:J82)</f>
        <v>0</v>
      </c>
      <c r="K76" s="32">
        <f>SUM(K77:K82)</f>
        <v>0</v>
      </c>
      <c r="L76" s="50" t="e">
        <f t="shared" si="1"/>
        <v>#DIV/0!</v>
      </c>
      <c r="M76" s="32">
        <f>SUM(M77:M82)</f>
        <v>0</v>
      </c>
      <c r="N76" s="50" t="e">
        <f t="shared" si="2"/>
        <v>#DIV/0!</v>
      </c>
      <c r="O76" s="50">
        <f t="shared" si="3"/>
        <v>0</v>
      </c>
      <c r="P76" s="32">
        <f>SUM(P77:P82)</f>
        <v>525314.4</v>
      </c>
    </row>
    <row r="77" spans="1:16" s="9" customFormat="1">
      <c r="A77" s="56" t="s">
        <v>1180</v>
      </c>
      <c r="B77" s="75" t="s">
        <v>1181</v>
      </c>
      <c r="C77" s="441" t="s">
        <v>1182</v>
      </c>
      <c r="D77" s="737">
        <f>VLOOKUP(A77,'Gastos Proyecciones'!$A$10:$T$198,LOOKUP($D$22,'Gastos Proyecciones'!$C$10:$T$10,'Gastos Proyecciones'!$C$205:$T$205),FALSE)</f>
        <v>360995.44</v>
      </c>
      <c r="E77" s="16"/>
      <c r="F77" s="699">
        <v>0</v>
      </c>
      <c r="G77" s="16"/>
      <c r="H77" s="44">
        <f t="shared" si="0"/>
        <v>0</v>
      </c>
      <c r="I77" s="16"/>
      <c r="J77" s="16"/>
      <c r="K77" s="16"/>
      <c r="L77" s="55" t="e">
        <f t="shared" si="1"/>
        <v>#DIV/0!</v>
      </c>
      <c r="M77" s="16"/>
      <c r="N77" s="55" t="e">
        <f t="shared" si="2"/>
        <v>#DIV/0!</v>
      </c>
      <c r="O77" s="50">
        <f t="shared" si="3"/>
        <v>0</v>
      </c>
      <c r="P77" s="16">
        <f>VLOOKUP(A77,'Gastos Proyecciones'!$A$10:$T$198,LOOKUP(Ingresos!$O$190,'Gastos Proyecciones'!$C$10:$T$10,'Gastos Proyecciones'!$C$205:$T$205),FALSE)</f>
        <v>360995.44</v>
      </c>
    </row>
    <row r="78" spans="1:16">
      <c r="A78" s="399" t="s">
        <v>1183</v>
      </c>
      <c r="B78" s="735"/>
      <c r="C78" s="441" t="s">
        <v>1184</v>
      </c>
      <c r="D78" s="737">
        <f>VLOOKUP(A78,'Gastos Proyecciones'!$A$10:$T$198,LOOKUP($D$22,'Gastos Proyecciones'!$C$10:$T$10,'Gastos Proyecciones'!$C$205:$T$205),FALSE)</f>
        <v>0</v>
      </c>
      <c r="E78" s="16"/>
      <c r="F78" s="699">
        <v>0</v>
      </c>
      <c r="G78" s="16"/>
      <c r="H78" s="44">
        <f t="shared" si="0"/>
        <v>0</v>
      </c>
      <c r="I78" s="16"/>
      <c r="J78" s="16"/>
      <c r="K78" s="16"/>
      <c r="L78" s="52" t="e">
        <f t="shared" si="1"/>
        <v>#DIV/0!</v>
      </c>
      <c r="M78" s="16"/>
      <c r="N78" s="52" t="e">
        <f t="shared" si="2"/>
        <v>#DIV/0!</v>
      </c>
      <c r="O78" s="52" t="e">
        <f t="shared" si="3"/>
        <v>#DIV/0!</v>
      </c>
      <c r="P78" s="16">
        <f>VLOOKUP(A78,'Gastos Proyecciones'!$A$10:$T$198,LOOKUP(Ingresos!$O$190,'Gastos Proyecciones'!$C$10:$T$10,'Gastos Proyecciones'!$C$205:$T$205),FALSE)</f>
        <v>0</v>
      </c>
    </row>
    <row r="79" spans="1:16">
      <c r="A79" s="399" t="s">
        <v>1185</v>
      </c>
      <c r="B79" s="735"/>
      <c r="C79" s="441" t="s">
        <v>1186</v>
      </c>
      <c r="D79" s="737">
        <f>VLOOKUP(A79,'Gastos Proyecciones'!$A$10:$T$198,LOOKUP($D$22,'Gastos Proyecciones'!$C$10:$T$10,'Gastos Proyecciones'!$C$205:$T$205),FALSE)</f>
        <v>0</v>
      </c>
      <c r="E79" s="16"/>
      <c r="F79" s="699">
        <v>0</v>
      </c>
      <c r="G79" s="16"/>
      <c r="H79" s="44">
        <f t="shared" si="0"/>
        <v>0</v>
      </c>
      <c r="I79" s="16"/>
      <c r="J79" s="16"/>
      <c r="K79" s="16"/>
      <c r="L79" s="52" t="e">
        <f t="shared" si="1"/>
        <v>#DIV/0!</v>
      </c>
      <c r="M79" s="16"/>
      <c r="N79" s="52" t="e">
        <f t="shared" si="2"/>
        <v>#DIV/0!</v>
      </c>
      <c r="O79" s="52" t="e">
        <f t="shared" si="3"/>
        <v>#DIV/0!</v>
      </c>
      <c r="P79" s="16">
        <f>VLOOKUP(A79,'Gastos Proyecciones'!$A$10:$T$198,LOOKUP(Ingresos!$O$190,'Gastos Proyecciones'!$C$10:$T$10,'Gastos Proyecciones'!$C$205:$T$205),FALSE)</f>
        <v>0</v>
      </c>
    </row>
    <row r="80" spans="1:16">
      <c r="A80" s="399" t="s">
        <v>1187</v>
      </c>
      <c r="B80" s="735"/>
      <c r="C80" s="441" t="s">
        <v>1188</v>
      </c>
      <c r="D80" s="737">
        <f>VLOOKUP(A80,'Gastos Proyecciones'!$A$10:$T$198,LOOKUP($D$22,'Gastos Proyecciones'!$C$10:$T$10,'Gastos Proyecciones'!$C$205:$T$205),FALSE)</f>
        <v>0</v>
      </c>
      <c r="E80" s="16"/>
      <c r="F80" s="699">
        <v>0</v>
      </c>
      <c r="G80" s="16"/>
      <c r="H80" s="44">
        <f t="shared" si="0"/>
        <v>0</v>
      </c>
      <c r="I80" s="16"/>
      <c r="J80" s="16"/>
      <c r="K80" s="16"/>
      <c r="L80" s="55" t="e">
        <f t="shared" si="1"/>
        <v>#DIV/0!</v>
      </c>
      <c r="M80" s="16"/>
      <c r="N80" s="55" t="e">
        <f t="shared" si="2"/>
        <v>#DIV/0!</v>
      </c>
      <c r="O80" s="50" t="e">
        <f t="shared" si="3"/>
        <v>#DIV/0!</v>
      </c>
      <c r="P80" s="16">
        <f>VLOOKUP(A80,'Gastos Proyecciones'!$A$10:$T$198,LOOKUP(Ingresos!$O$190,'Gastos Proyecciones'!$C$10:$T$10,'Gastos Proyecciones'!$C$205:$T$205),FALSE)</f>
        <v>0</v>
      </c>
    </row>
    <row r="81" spans="1:16">
      <c r="A81" s="399" t="s">
        <v>1189</v>
      </c>
      <c r="B81" s="735"/>
      <c r="C81" s="441" t="s">
        <v>1190</v>
      </c>
      <c r="D81" s="737">
        <f>VLOOKUP(A81,'Gastos Proyecciones'!$A$10:$T$198,LOOKUP($D$22,'Gastos Proyecciones'!$C$10:$T$10,'Gastos Proyecciones'!$C$205:$T$205),FALSE)</f>
        <v>0</v>
      </c>
      <c r="E81" s="16"/>
      <c r="F81" s="699">
        <v>0</v>
      </c>
      <c r="G81" s="16"/>
      <c r="H81" s="44">
        <f t="shared" si="0"/>
        <v>0</v>
      </c>
      <c r="I81" s="16"/>
      <c r="J81" s="16"/>
      <c r="K81" s="16"/>
      <c r="L81" s="52" t="e">
        <f t="shared" si="1"/>
        <v>#DIV/0!</v>
      </c>
      <c r="M81" s="16"/>
      <c r="N81" s="52" t="e">
        <f t="shared" si="2"/>
        <v>#DIV/0!</v>
      </c>
      <c r="O81" s="52" t="e">
        <f t="shared" si="3"/>
        <v>#DIV/0!</v>
      </c>
      <c r="P81" s="16">
        <f>VLOOKUP(A81,'Gastos Proyecciones'!$A$10:$T$198,LOOKUP(Ingresos!$O$190,'Gastos Proyecciones'!$C$10:$T$10,'Gastos Proyecciones'!$C$205:$T$205),FALSE)</f>
        <v>0</v>
      </c>
    </row>
    <row r="82" spans="1:16">
      <c r="A82" s="56" t="s">
        <v>1191</v>
      </c>
      <c r="B82" s="735" t="s">
        <v>1192</v>
      </c>
      <c r="C82" s="441" t="s">
        <v>1193</v>
      </c>
      <c r="D82" s="737">
        <f>VLOOKUP(A82,'Gastos Proyecciones'!$A$10:$T$198,LOOKUP($D$22,'Gastos Proyecciones'!$C$10:$T$10,'Gastos Proyecciones'!$C$205:$T$205),FALSE)</f>
        <v>164318.96</v>
      </c>
      <c r="E82" s="16"/>
      <c r="F82" s="699">
        <v>0</v>
      </c>
      <c r="G82" s="16"/>
      <c r="H82" s="44">
        <f t="shared" si="0"/>
        <v>0</v>
      </c>
      <c r="I82" s="16"/>
      <c r="J82" s="16"/>
      <c r="K82" s="16"/>
      <c r="L82" s="52" t="e">
        <f t="shared" si="1"/>
        <v>#DIV/0!</v>
      </c>
      <c r="M82" s="16"/>
      <c r="N82" s="52" t="e">
        <f t="shared" si="2"/>
        <v>#DIV/0!</v>
      </c>
      <c r="O82" s="52">
        <f t="shared" si="3"/>
        <v>0</v>
      </c>
      <c r="P82" s="16">
        <f>VLOOKUP(A82,'Gastos Proyecciones'!$A$10:$T$198,LOOKUP(Ingresos!$O$190,'Gastos Proyecciones'!$C$10:$T$10,'Gastos Proyecciones'!$C$205:$T$205),FALSE)</f>
        <v>164318.96</v>
      </c>
    </row>
    <row r="83" spans="1:16" s="12" customFormat="1">
      <c r="A83" s="47" t="s">
        <v>1194</v>
      </c>
      <c r="B83" s="735"/>
      <c r="C83" s="438" t="s">
        <v>1195</v>
      </c>
      <c r="D83" s="32">
        <f>SUM(D84:D89)</f>
        <v>2971706.4</v>
      </c>
      <c r="E83" s="32">
        <f>SUM(E84:E89)</f>
        <v>0</v>
      </c>
      <c r="F83" s="736">
        <v>0</v>
      </c>
      <c r="G83" s="32">
        <f>SUM(G84:G89)</f>
        <v>0</v>
      </c>
      <c r="H83" s="32">
        <f t="shared" si="0"/>
        <v>0</v>
      </c>
      <c r="I83" s="32">
        <f>SUM(I84:I89)</f>
        <v>0</v>
      </c>
      <c r="J83" s="32">
        <f>SUM(J84:J89)</f>
        <v>0</v>
      </c>
      <c r="K83" s="32">
        <f>SUM(K84:K89)</f>
        <v>0</v>
      </c>
      <c r="L83" s="50" t="e">
        <f t="shared" si="1"/>
        <v>#DIV/0!</v>
      </c>
      <c r="M83" s="32">
        <f>SUM(M84:M89)</f>
        <v>0</v>
      </c>
      <c r="N83" s="50" t="e">
        <f t="shared" si="2"/>
        <v>#DIV/0!</v>
      </c>
      <c r="O83" s="50">
        <f t="shared" si="3"/>
        <v>0</v>
      </c>
      <c r="P83" s="32">
        <f>SUM(P84:P89)</f>
        <v>2971706.4</v>
      </c>
    </row>
    <row r="84" spans="1:16">
      <c r="A84" s="57" t="s">
        <v>1196</v>
      </c>
      <c r="B84" s="75" t="s">
        <v>1197</v>
      </c>
      <c r="C84" s="441" t="s">
        <v>1198</v>
      </c>
      <c r="D84" s="737">
        <f>VLOOKUP(A84,'Gastos Proyecciones'!$A$10:$T$198,LOOKUP($D$22,'Gastos Proyecciones'!$C$10:$T$10,'Gastos Proyecciones'!$C$205:$T$205),FALSE)</f>
        <v>0</v>
      </c>
      <c r="E84" s="16"/>
      <c r="F84" s="699">
        <v>0</v>
      </c>
      <c r="G84" s="16"/>
      <c r="H84" s="44">
        <f t="shared" si="0"/>
        <v>0</v>
      </c>
      <c r="I84" s="16"/>
      <c r="J84" s="16"/>
      <c r="K84" s="16"/>
      <c r="L84" s="52" t="e">
        <f t="shared" si="1"/>
        <v>#DIV/0!</v>
      </c>
      <c r="M84" s="16"/>
      <c r="N84" s="52" t="e">
        <f t="shared" si="2"/>
        <v>#DIV/0!</v>
      </c>
      <c r="O84" s="52" t="e">
        <f t="shared" si="3"/>
        <v>#DIV/0!</v>
      </c>
      <c r="P84" s="16">
        <f>VLOOKUP(A84,'Gastos Proyecciones'!$A$10:$T$198,LOOKUP(Ingresos!$O$190,'Gastos Proyecciones'!$C$10:$T$10,'Gastos Proyecciones'!$C$205:$T$205),FALSE)</f>
        <v>0</v>
      </c>
    </row>
    <row r="85" spans="1:16">
      <c r="A85" s="399" t="s">
        <v>1199</v>
      </c>
      <c r="B85" s="735"/>
      <c r="C85" s="441" t="s">
        <v>1184</v>
      </c>
      <c r="D85" s="737">
        <f>VLOOKUP(A85,'Gastos Proyecciones'!$A$10:$T$198,LOOKUP($D$22,'Gastos Proyecciones'!$C$10:$T$10,'Gastos Proyecciones'!$C$205:$T$205),FALSE)</f>
        <v>0</v>
      </c>
      <c r="E85" s="16"/>
      <c r="F85" s="699">
        <v>0</v>
      </c>
      <c r="G85" s="16"/>
      <c r="H85" s="44">
        <f t="shared" si="0"/>
        <v>0</v>
      </c>
      <c r="I85" s="16"/>
      <c r="J85" s="16"/>
      <c r="K85" s="16"/>
      <c r="L85" s="52" t="e">
        <f t="shared" si="1"/>
        <v>#DIV/0!</v>
      </c>
      <c r="M85" s="16"/>
      <c r="N85" s="52" t="e">
        <f t="shared" si="2"/>
        <v>#DIV/0!</v>
      </c>
      <c r="O85" s="52" t="e">
        <f t="shared" si="3"/>
        <v>#DIV/0!</v>
      </c>
      <c r="P85" s="16">
        <f>VLOOKUP(A85,'Gastos Proyecciones'!$A$10:$T$198,LOOKUP(Ingresos!$O$190,'Gastos Proyecciones'!$C$10:$T$10,'Gastos Proyecciones'!$C$205:$T$205),FALSE)</f>
        <v>0</v>
      </c>
    </row>
    <row r="86" spans="1:16">
      <c r="A86" s="399" t="s">
        <v>1200</v>
      </c>
      <c r="B86" s="735"/>
      <c r="C86" s="441" t="s">
        <v>1201</v>
      </c>
      <c r="D86" s="737">
        <f>VLOOKUP(A86,'Gastos Proyecciones'!$A$10:$T$198,LOOKUP($D$22,'Gastos Proyecciones'!$C$10:$T$10,'Gastos Proyecciones'!$C$205:$T$205),FALSE)</f>
        <v>0</v>
      </c>
      <c r="E86" s="16"/>
      <c r="F86" s="699">
        <v>0</v>
      </c>
      <c r="G86" s="16"/>
      <c r="H86" s="44">
        <f t="shared" si="0"/>
        <v>0</v>
      </c>
      <c r="I86" s="16"/>
      <c r="J86" s="16"/>
      <c r="K86" s="16"/>
      <c r="L86" s="52" t="e">
        <f t="shared" si="1"/>
        <v>#DIV/0!</v>
      </c>
      <c r="M86" s="16"/>
      <c r="N86" s="52" t="e">
        <f t="shared" si="2"/>
        <v>#DIV/0!</v>
      </c>
      <c r="O86" s="52" t="e">
        <f t="shared" si="3"/>
        <v>#DIV/0!</v>
      </c>
      <c r="P86" s="16">
        <f>VLOOKUP(A86,'Gastos Proyecciones'!$A$10:$T$198,LOOKUP(Ingresos!$O$190,'Gastos Proyecciones'!$C$10:$T$10,'Gastos Proyecciones'!$C$205:$T$205),FALSE)</f>
        <v>0</v>
      </c>
    </row>
    <row r="87" spans="1:16">
      <c r="A87" s="399" t="s">
        <v>1202</v>
      </c>
      <c r="B87" s="735"/>
      <c r="C87" s="441" t="s">
        <v>1188</v>
      </c>
      <c r="D87" s="737">
        <f>VLOOKUP(A87,'Gastos Proyecciones'!$A$10:$T$198,LOOKUP($D$22,'Gastos Proyecciones'!$C$10:$T$10,'Gastos Proyecciones'!$C$205:$T$205),FALSE)</f>
        <v>0</v>
      </c>
      <c r="E87" s="16"/>
      <c r="F87" s="699">
        <v>0</v>
      </c>
      <c r="G87" s="16"/>
      <c r="H87" s="44">
        <f t="shared" si="0"/>
        <v>0</v>
      </c>
      <c r="I87" s="16"/>
      <c r="J87" s="16"/>
      <c r="K87" s="16"/>
      <c r="L87" s="52" t="e">
        <f t="shared" si="1"/>
        <v>#DIV/0!</v>
      </c>
      <c r="M87" s="16"/>
      <c r="N87" s="52" t="e">
        <f t="shared" si="2"/>
        <v>#DIV/0!</v>
      </c>
      <c r="O87" s="52" t="e">
        <f t="shared" si="3"/>
        <v>#DIV/0!</v>
      </c>
      <c r="P87" s="16">
        <f>VLOOKUP(A87,'Gastos Proyecciones'!$A$10:$T$198,LOOKUP(Ingresos!$O$190,'Gastos Proyecciones'!$C$10:$T$10,'Gastos Proyecciones'!$C$205:$T$205),FALSE)</f>
        <v>0</v>
      </c>
    </row>
    <row r="88" spans="1:16">
      <c r="A88" s="399" t="s">
        <v>1203</v>
      </c>
      <c r="B88" s="735"/>
      <c r="C88" s="441" t="s">
        <v>1204</v>
      </c>
      <c r="D88" s="737">
        <f>VLOOKUP(A88,'Gastos Proyecciones'!$A$10:$T$198,LOOKUP($D$22,'Gastos Proyecciones'!$C$10:$T$10,'Gastos Proyecciones'!$C$205:$T$205),FALSE)</f>
        <v>2971706.4</v>
      </c>
      <c r="E88" s="16"/>
      <c r="F88" s="699">
        <v>0</v>
      </c>
      <c r="G88" s="16"/>
      <c r="H88" s="44">
        <f t="shared" si="0"/>
        <v>0</v>
      </c>
      <c r="I88" s="16"/>
      <c r="J88" s="16"/>
      <c r="K88" s="16"/>
      <c r="L88" s="55" t="e">
        <f t="shared" si="1"/>
        <v>#DIV/0!</v>
      </c>
      <c r="M88" s="16"/>
      <c r="N88" s="55" t="e">
        <f t="shared" si="2"/>
        <v>#DIV/0!</v>
      </c>
      <c r="O88" s="55">
        <f t="shared" si="3"/>
        <v>0</v>
      </c>
      <c r="P88" s="16">
        <f>VLOOKUP(A88,'Gastos Proyecciones'!$A$10:$T$198,LOOKUP(Ingresos!$O$190,'Gastos Proyecciones'!$C$10:$T$10,'Gastos Proyecciones'!$C$205:$T$205),FALSE)</f>
        <v>2971706.4</v>
      </c>
    </row>
    <row r="89" spans="1:16">
      <c r="A89" s="57" t="s">
        <v>1205</v>
      </c>
      <c r="B89" s="735" t="s">
        <v>1206</v>
      </c>
      <c r="C89" s="441" t="s">
        <v>1207</v>
      </c>
      <c r="D89" s="737">
        <f>VLOOKUP(A89,'Gastos Proyecciones'!$A$10:$T$198,LOOKUP($D$22,'Gastos Proyecciones'!$C$10:$T$10,'Gastos Proyecciones'!$C$205:$T$205),FALSE)</f>
        <v>0</v>
      </c>
      <c r="E89" s="16"/>
      <c r="F89" s="699">
        <v>0</v>
      </c>
      <c r="G89" s="16"/>
      <c r="H89" s="44">
        <f t="shared" si="0"/>
        <v>0</v>
      </c>
      <c r="I89" s="16"/>
      <c r="J89" s="16"/>
      <c r="K89" s="16"/>
      <c r="L89" s="55" t="e">
        <f t="shared" ref="L89:L153" si="4">+J89/G89</f>
        <v>#DIV/0!</v>
      </c>
      <c r="M89" s="16"/>
      <c r="N89" s="55" t="e">
        <f t="shared" ref="N89:N153" si="5">+(J89/M89)-1</f>
        <v>#DIV/0!</v>
      </c>
      <c r="O89" s="55" t="e">
        <f t="shared" ref="O89:O153" si="6">+J89/D89</f>
        <v>#DIV/0!</v>
      </c>
      <c r="P89" s="16">
        <f>VLOOKUP(A89,'Gastos Proyecciones'!$A$10:$T$198,LOOKUP(Ingresos!$O$190,'Gastos Proyecciones'!$C$10:$T$10,'Gastos Proyecciones'!$C$205:$T$205),FALSE)</f>
        <v>0</v>
      </c>
    </row>
    <row r="90" spans="1:16" s="12" customFormat="1">
      <c r="A90" s="57" t="s">
        <v>1208</v>
      </c>
      <c r="B90" s="75"/>
      <c r="C90" s="440" t="s">
        <v>1209</v>
      </c>
      <c r="D90" s="32">
        <f>+D91+D105+D112</f>
        <v>1571443.6400000001</v>
      </c>
      <c r="E90" s="32">
        <f>+E91+E105+E112</f>
        <v>0</v>
      </c>
      <c r="F90" s="32">
        <v>0</v>
      </c>
      <c r="G90" s="32">
        <f>+G91+G105+G112</f>
        <v>0</v>
      </c>
      <c r="H90" s="32">
        <f t="shared" si="0"/>
        <v>0</v>
      </c>
      <c r="I90" s="32">
        <f>+I91+I105+I112</f>
        <v>0</v>
      </c>
      <c r="J90" s="32">
        <f>+J91+J105+J112</f>
        <v>0</v>
      </c>
      <c r="K90" s="32">
        <f>+K91+K105+K112</f>
        <v>0</v>
      </c>
      <c r="L90" s="50" t="e">
        <f t="shared" si="4"/>
        <v>#DIV/0!</v>
      </c>
      <c r="M90" s="32">
        <f>+M91+M105+M112</f>
        <v>0</v>
      </c>
      <c r="N90" s="50" t="e">
        <f t="shared" si="5"/>
        <v>#DIV/0!</v>
      </c>
      <c r="O90" s="50">
        <f t="shared" si="6"/>
        <v>0</v>
      </c>
      <c r="P90" s="32">
        <f>+P91+P105+P112</f>
        <v>1571443.6400000001</v>
      </c>
    </row>
    <row r="91" spans="1:16" s="12" customFormat="1">
      <c r="A91" s="47" t="s">
        <v>1210</v>
      </c>
      <c r="B91" s="75"/>
      <c r="C91" s="440" t="s">
        <v>1211</v>
      </c>
      <c r="D91" s="32">
        <f>SUM(D92:D104)</f>
        <v>0</v>
      </c>
      <c r="E91" s="32">
        <f>SUM(E92:E104)</f>
        <v>0</v>
      </c>
      <c r="F91" s="736">
        <v>0</v>
      </c>
      <c r="G91" s="32">
        <f>SUM(G92:G104)</f>
        <v>0</v>
      </c>
      <c r="H91" s="32">
        <f t="shared" ref="H91:H154" si="7">+G91-E91</f>
        <v>0</v>
      </c>
      <c r="I91" s="32">
        <f>SUM(I92:I104)</f>
        <v>0</v>
      </c>
      <c r="J91" s="32">
        <f>SUM(J92:J104)</f>
        <v>0</v>
      </c>
      <c r="K91" s="32">
        <f>SUM(K92:K104)</f>
        <v>0</v>
      </c>
      <c r="L91" s="50" t="e">
        <f t="shared" si="4"/>
        <v>#DIV/0!</v>
      </c>
      <c r="M91" s="32">
        <f>SUM(M92:M104)</f>
        <v>0</v>
      </c>
      <c r="N91" s="50" t="e">
        <f t="shared" si="5"/>
        <v>#DIV/0!</v>
      </c>
      <c r="O91" s="50" t="e">
        <f t="shared" si="6"/>
        <v>#DIV/0!</v>
      </c>
      <c r="P91" s="32">
        <f>SUM(P92:P104)</f>
        <v>0</v>
      </c>
    </row>
    <row r="92" spans="1:16">
      <c r="A92" s="47" t="s">
        <v>1212</v>
      </c>
      <c r="B92" s="738" t="s">
        <v>1213</v>
      </c>
      <c r="C92" s="441" t="s">
        <v>1214</v>
      </c>
      <c r="D92" s="737">
        <f>VLOOKUP(A92,'Gastos Proyecciones'!$A$10:$T$198,LOOKUP($D$22,'Gastos Proyecciones'!$C$10:$T$10,'Gastos Proyecciones'!$C$205:$T$205),FALSE)</f>
        <v>0</v>
      </c>
      <c r="E92" s="16"/>
      <c r="F92" s="699">
        <v>0</v>
      </c>
      <c r="G92" s="16"/>
      <c r="H92" s="44">
        <f t="shared" si="7"/>
        <v>0</v>
      </c>
      <c r="I92" s="16"/>
      <c r="J92" s="16"/>
      <c r="K92" s="16"/>
      <c r="L92" s="55" t="e">
        <f t="shared" si="4"/>
        <v>#DIV/0!</v>
      </c>
      <c r="M92" s="16"/>
      <c r="N92" s="55" t="e">
        <f t="shared" si="5"/>
        <v>#DIV/0!</v>
      </c>
      <c r="O92" s="55" t="e">
        <f t="shared" si="6"/>
        <v>#DIV/0!</v>
      </c>
      <c r="P92" s="16">
        <f>VLOOKUP(A92,'Gastos Proyecciones'!$A$10:$T$198,LOOKUP(Ingresos!$O$190,'Gastos Proyecciones'!$C$10:$T$10,'Gastos Proyecciones'!$C$205:$T$205),FALSE)</f>
        <v>0</v>
      </c>
    </row>
    <row r="93" spans="1:16" s="9" customFormat="1">
      <c r="A93" s="47" t="s">
        <v>1215</v>
      </c>
      <c r="B93" s="738" t="s">
        <v>1216</v>
      </c>
      <c r="C93" s="441" t="s">
        <v>1217</v>
      </c>
      <c r="D93" s="737">
        <f>VLOOKUP(A93,'Gastos Proyecciones'!$A$10:$T$198,LOOKUP($D$22,'Gastos Proyecciones'!$C$10:$T$10,'Gastos Proyecciones'!$C$205:$T$205),FALSE)</f>
        <v>0</v>
      </c>
      <c r="E93" s="16"/>
      <c r="F93" s="699">
        <v>0</v>
      </c>
      <c r="G93" s="16"/>
      <c r="H93" s="44">
        <f t="shared" si="7"/>
        <v>0</v>
      </c>
      <c r="I93" s="16"/>
      <c r="J93" s="16"/>
      <c r="K93" s="16"/>
      <c r="L93" s="52" t="e">
        <f t="shared" si="4"/>
        <v>#DIV/0!</v>
      </c>
      <c r="M93" s="16"/>
      <c r="N93" s="52" t="e">
        <f t="shared" si="5"/>
        <v>#DIV/0!</v>
      </c>
      <c r="O93" s="52" t="e">
        <f t="shared" si="6"/>
        <v>#DIV/0!</v>
      </c>
      <c r="P93" s="16">
        <f>VLOOKUP(A93,'Gastos Proyecciones'!$A$10:$T$198,LOOKUP(Ingresos!$O$190,'Gastos Proyecciones'!$C$10:$T$10,'Gastos Proyecciones'!$C$205:$T$205),FALSE)</f>
        <v>0</v>
      </c>
    </row>
    <row r="94" spans="1:16" s="9" customFormat="1">
      <c r="A94" s="47" t="s">
        <v>1218</v>
      </c>
      <c r="B94" s="738" t="s">
        <v>1219</v>
      </c>
      <c r="C94" s="441" t="s">
        <v>1220</v>
      </c>
      <c r="D94" s="737">
        <f>VLOOKUP(A94,'Gastos Proyecciones'!$A$10:$T$198,LOOKUP($D$22,'Gastos Proyecciones'!$C$10:$T$10,'Gastos Proyecciones'!$C$205:$T$205),FALSE)</f>
        <v>0</v>
      </c>
      <c r="E94" s="16"/>
      <c r="F94" s="699">
        <v>0</v>
      </c>
      <c r="G94" s="16"/>
      <c r="H94" s="44">
        <f t="shared" si="7"/>
        <v>0</v>
      </c>
      <c r="I94" s="16"/>
      <c r="J94" s="16"/>
      <c r="K94" s="16"/>
      <c r="L94" s="52" t="e">
        <f t="shared" si="4"/>
        <v>#DIV/0!</v>
      </c>
      <c r="M94" s="16"/>
      <c r="N94" s="52" t="e">
        <f t="shared" si="5"/>
        <v>#DIV/0!</v>
      </c>
      <c r="O94" s="52" t="e">
        <f t="shared" si="6"/>
        <v>#DIV/0!</v>
      </c>
      <c r="P94" s="16">
        <f>VLOOKUP(A94,'Gastos Proyecciones'!$A$10:$T$198,LOOKUP(Ingresos!$O$190,'Gastos Proyecciones'!$C$10:$T$10,'Gastos Proyecciones'!$C$205:$T$205),FALSE)</f>
        <v>0</v>
      </c>
    </row>
    <row r="95" spans="1:16" s="43" customFormat="1">
      <c r="A95" s="47" t="s">
        <v>1221</v>
      </c>
      <c r="B95" s="738" t="s">
        <v>1222</v>
      </c>
      <c r="C95" s="441" t="s">
        <v>1223</v>
      </c>
      <c r="D95" s="737">
        <f>VLOOKUP(A95,'Gastos Proyecciones'!$A$10:$T$198,LOOKUP($D$22,'Gastos Proyecciones'!$C$10:$T$10,'Gastos Proyecciones'!$C$205:$T$205),FALSE)</f>
        <v>0</v>
      </c>
      <c r="E95" s="16"/>
      <c r="F95" s="699">
        <v>0</v>
      </c>
      <c r="G95" s="16"/>
      <c r="H95" s="44">
        <f t="shared" si="7"/>
        <v>0</v>
      </c>
      <c r="I95" s="16"/>
      <c r="J95" s="16"/>
      <c r="K95" s="16"/>
      <c r="L95" s="55" t="e">
        <f t="shared" si="4"/>
        <v>#DIV/0!</v>
      </c>
      <c r="M95" s="16"/>
      <c r="N95" s="55" t="e">
        <f t="shared" si="5"/>
        <v>#DIV/0!</v>
      </c>
      <c r="O95" s="55" t="e">
        <f t="shared" si="6"/>
        <v>#DIV/0!</v>
      </c>
      <c r="P95" s="16">
        <f>VLOOKUP(A95,'Gastos Proyecciones'!$A$10:$T$198,LOOKUP(Ingresos!$O$190,'Gastos Proyecciones'!$C$10:$T$10,'Gastos Proyecciones'!$C$205:$T$205),FALSE)</f>
        <v>0</v>
      </c>
    </row>
    <row r="96" spans="1:16">
      <c r="A96" s="47" t="s">
        <v>1224</v>
      </c>
      <c r="B96" s="738" t="s">
        <v>1225</v>
      </c>
      <c r="C96" s="441" t="s">
        <v>1226</v>
      </c>
      <c r="D96" s="737">
        <f>VLOOKUP(A96,'Gastos Proyecciones'!$A$10:$T$198,LOOKUP($D$22,'Gastos Proyecciones'!$C$10:$T$10,'Gastos Proyecciones'!$C$205:$T$205),FALSE)</f>
        <v>0</v>
      </c>
      <c r="E96" s="16"/>
      <c r="F96" s="699">
        <v>0</v>
      </c>
      <c r="G96" s="16"/>
      <c r="H96" s="44">
        <f t="shared" si="7"/>
        <v>0</v>
      </c>
      <c r="I96" s="16"/>
      <c r="J96" s="16"/>
      <c r="K96" s="16"/>
      <c r="L96" s="52" t="e">
        <f t="shared" si="4"/>
        <v>#DIV/0!</v>
      </c>
      <c r="M96" s="16"/>
      <c r="N96" s="52" t="e">
        <f t="shared" si="5"/>
        <v>#DIV/0!</v>
      </c>
      <c r="O96" s="52" t="e">
        <f t="shared" si="6"/>
        <v>#DIV/0!</v>
      </c>
      <c r="P96" s="16">
        <f>VLOOKUP(A96,'Gastos Proyecciones'!$A$10:$T$198,LOOKUP(Ingresos!$O$190,'Gastos Proyecciones'!$C$10:$T$10,'Gastos Proyecciones'!$C$205:$T$205),FALSE)</f>
        <v>0</v>
      </c>
    </row>
    <row r="97" spans="1:16">
      <c r="A97" s="47" t="s">
        <v>1227</v>
      </c>
      <c r="B97" s="738" t="s">
        <v>1228</v>
      </c>
      <c r="C97" s="441" t="s">
        <v>1229</v>
      </c>
      <c r="D97" s="737">
        <f>VLOOKUP(A97,'Gastos Proyecciones'!$A$10:$T$198,LOOKUP($D$22,'Gastos Proyecciones'!$C$10:$T$10,'Gastos Proyecciones'!$C$205:$T$205),FALSE)</f>
        <v>0</v>
      </c>
      <c r="E97" s="16"/>
      <c r="F97" s="699">
        <v>0</v>
      </c>
      <c r="G97" s="16"/>
      <c r="H97" s="44">
        <f t="shared" si="7"/>
        <v>0</v>
      </c>
      <c r="I97" s="16"/>
      <c r="J97" s="16"/>
      <c r="K97" s="16"/>
      <c r="L97" s="52" t="e">
        <f t="shared" si="4"/>
        <v>#DIV/0!</v>
      </c>
      <c r="M97" s="16"/>
      <c r="N97" s="52" t="e">
        <f t="shared" si="5"/>
        <v>#DIV/0!</v>
      </c>
      <c r="O97" s="52" t="e">
        <f t="shared" si="6"/>
        <v>#DIV/0!</v>
      </c>
      <c r="P97" s="16">
        <f>VLOOKUP(A97,'Gastos Proyecciones'!$A$10:$T$198,LOOKUP(Ingresos!$O$190,'Gastos Proyecciones'!$C$10:$T$10,'Gastos Proyecciones'!$C$205:$T$205),FALSE)</f>
        <v>0</v>
      </c>
    </row>
    <row r="98" spans="1:16">
      <c r="A98" s="47" t="s">
        <v>1230</v>
      </c>
      <c r="B98" s="738" t="s">
        <v>1231</v>
      </c>
      <c r="C98" s="441" t="s">
        <v>1232</v>
      </c>
      <c r="D98" s="737">
        <f>VLOOKUP(A98,'Gastos Proyecciones'!$A$10:$T$198,LOOKUP($D$22,'Gastos Proyecciones'!$C$10:$T$10,'Gastos Proyecciones'!$C$205:$T$205),FALSE)</f>
        <v>0</v>
      </c>
      <c r="E98" s="16"/>
      <c r="F98" s="699">
        <v>0</v>
      </c>
      <c r="G98" s="16"/>
      <c r="H98" s="44">
        <f t="shared" si="7"/>
        <v>0</v>
      </c>
      <c r="I98" s="16"/>
      <c r="J98" s="16"/>
      <c r="K98" s="16"/>
      <c r="L98" s="52" t="e">
        <f t="shared" si="4"/>
        <v>#DIV/0!</v>
      </c>
      <c r="M98" s="16"/>
      <c r="N98" s="52" t="e">
        <f t="shared" si="5"/>
        <v>#DIV/0!</v>
      </c>
      <c r="O98" s="52" t="e">
        <f t="shared" si="6"/>
        <v>#DIV/0!</v>
      </c>
      <c r="P98" s="16">
        <f>VLOOKUP(A98,'Gastos Proyecciones'!$A$10:$T$198,LOOKUP(Ingresos!$O$190,'Gastos Proyecciones'!$C$10:$T$10,'Gastos Proyecciones'!$C$205:$T$205),FALSE)</f>
        <v>0</v>
      </c>
    </row>
    <row r="99" spans="1:16">
      <c r="A99" s="47" t="s">
        <v>1233</v>
      </c>
      <c r="B99" s="738" t="s">
        <v>1234</v>
      </c>
      <c r="C99" s="441" t="s">
        <v>1235</v>
      </c>
      <c r="D99" s="737">
        <f>VLOOKUP(A99,'Gastos Proyecciones'!$A$10:$T$198,LOOKUP($D$22,'Gastos Proyecciones'!$C$10:$T$10,'Gastos Proyecciones'!$C$205:$T$205),FALSE)</f>
        <v>0</v>
      </c>
      <c r="E99" s="16"/>
      <c r="F99" s="699">
        <v>0</v>
      </c>
      <c r="G99" s="16"/>
      <c r="H99" s="44">
        <f t="shared" si="7"/>
        <v>0</v>
      </c>
      <c r="I99" s="16"/>
      <c r="J99" s="16"/>
      <c r="K99" s="16"/>
      <c r="L99" s="52" t="e">
        <f t="shared" si="4"/>
        <v>#DIV/0!</v>
      </c>
      <c r="M99" s="16"/>
      <c r="N99" s="52" t="e">
        <f t="shared" si="5"/>
        <v>#DIV/0!</v>
      </c>
      <c r="O99" s="52" t="e">
        <f t="shared" si="6"/>
        <v>#DIV/0!</v>
      </c>
      <c r="P99" s="16">
        <f>VLOOKUP(A99,'Gastos Proyecciones'!$A$10:$T$198,LOOKUP(Ingresos!$O$190,'Gastos Proyecciones'!$C$10:$T$10,'Gastos Proyecciones'!$C$205:$T$205),FALSE)</f>
        <v>0</v>
      </c>
    </row>
    <row r="100" spans="1:16">
      <c r="A100" s="47" t="s">
        <v>1236</v>
      </c>
      <c r="B100" s="738" t="s">
        <v>1237</v>
      </c>
      <c r="C100" s="441" t="s">
        <v>1238</v>
      </c>
      <c r="D100" s="737">
        <f>VLOOKUP(A100,'Gastos Proyecciones'!$A$10:$T$198,LOOKUP($D$22,'Gastos Proyecciones'!$C$10:$T$10,'Gastos Proyecciones'!$C$205:$T$205),FALSE)</f>
        <v>0</v>
      </c>
      <c r="E100" s="16"/>
      <c r="F100" s="699">
        <v>0</v>
      </c>
      <c r="G100" s="16"/>
      <c r="H100" s="44">
        <f t="shared" si="7"/>
        <v>0</v>
      </c>
      <c r="I100" s="16"/>
      <c r="J100" s="16"/>
      <c r="K100" s="16"/>
      <c r="L100" s="52" t="e">
        <f t="shared" si="4"/>
        <v>#DIV/0!</v>
      </c>
      <c r="M100" s="16"/>
      <c r="N100" s="52" t="e">
        <f t="shared" si="5"/>
        <v>#DIV/0!</v>
      </c>
      <c r="O100" s="52" t="e">
        <f t="shared" si="6"/>
        <v>#DIV/0!</v>
      </c>
      <c r="P100" s="16">
        <f>VLOOKUP(A100,'Gastos Proyecciones'!$A$10:$T$198,LOOKUP(Ingresos!$O$190,'Gastos Proyecciones'!$C$10:$T$10,'Gastos Proyecciones'!$C$205:$T$205),FALSE)</f>
        <v>0</v>
      </c>
    </row>
    <row r="101" spans="1:16">
      <c r="A101" s="47" t="s">
        <v>1239</v>
      </c>
      <c r="B101" s="738" t="s">
        <v>1240</v>
      </c>
      <c r="C101" s="441" t="s">
        <v>1241</v>
      </c>
      <c r="D101" s="737">
        <f>VLOOKUP(A101,'Gastos Proyecciones'!$A$10:$T$198,LOOKUP($D$22,'Gastos Proyecciones'!$C$10:$T$10,'Gastos Proyecciones'!$C$205:$T$205),FALSE)</f>
        <v>0</v>
      </c>
      <c r="E101" s="16"/>
      <c r="F101" s="699">
        <v>0</v>
      </c>
      <c r="G101" s="16"/>
      <c r="H101" s="44">
        <f t="shared" si="7"/>
        <v>0</v>
      </c>
      <c r="I101" s="16"/>
      <c r="J101" s="16"/>
      <c r="K101" s="16"/>
      <c r="L101" s="52" t="e">
        <f t="shared" si="4"/>
        <v>#DIV/0!</v>
      </c>
      <c r="M101" s="16"/>
      <c r="N101" s="52" t="e">
        <f t="shared" si="5"/>
        <v>#DIV/0!</v>
      </c>
      <c r="O101" s="52" t="e">
        <f t="shared" si="6"/>
        <v>#DIV/0!</v>
      </c>
      <c r="P101" s="16">
        <f>VLOOKUP(A101,'Gastos Proyecciones'!$A$10:$T$198,LOOKUP(Ingresos!$O$190,'Gastos Proyecciones'!$C$10:$T$10,'Gastos Proyecciones'!$C$205:$T$205),FALSE)</f>
        <v>0</v>
      </c>
    </row>
    <row r="102" spans="1:16" s="43" customFormat="1">
      <c r="A102" s="47" t="s">
        <v>1242</v>
      </c>
      <c r="B102" s="738" t="s">
        <v>1243</v>
      </c>
      <c r="C102" s="441" t="s">
        <v>1244</v>
      </c>
      <c r="D102" s="737">
        <f>VLOOKUP(A102,'Gastos Proyecciones'!$A$10:$T$198,LOOKUP($D$22,'Gastos Proyecciones'!$C$10:$T$10,'Gastos Proyecciones'!$C$205:$T$205),FALSE)</f>
        <v>0</v>
      </c>
      <c r="E102" s="16"/>
      <c r="F102" s="699">
        <v>0</v>
      </c>
      <c r="G102" s="16"/>
      <c r="H102" s="44">
        <f t="shared" si="7"/>
        <v>0</v>
      </c>
      <c r="I102" s="16"/>
      <c r="J102" s="16"/>
      <c r="K102" s="16"/>
      <c r="L102" s="55" t="e">
        <f t="shared" si="4"/>
        <v>#DIV/0!</v>
      </c>
      <c r="M102" s="16"/>
      <c r="N102" s="55" t="e">
        <f t="shared" si="5"/>
        <v>#DIV/0!</v>
      </c>
      <c r="O102" s="55" t="e">
        <f t="shared" si="6"/>
        <v>#DIV/0!</v>
      </c>
      <c r="P102" s="16">
        <f>VLOOKUP(A102,'Gastos Proyecciones'!$A$10:$T$198,LOOKUP(Ingresos!$O$190,'Gastos Proyecciones'!$C$10:$T$10,'Gastos Proyecciones'!$C$205:$T$205),FALSE)</f>
        <v>0</v>
      </c>
    </row>
    <row r="103" spans="1:16" s="43" customFormat="1">
      <c r="A103" s="47" t="s">
        <v>1245</v>
      </c>
      <c r="B103" s="738" t="s">
        <v>1246</v>
      </c>
      <c r="C103" s="441" t="s">
        <v>1247</v>
      </c>
      <c r="D103" s="737">
        <f>VLOOKUP(A103,'Gastos Proyecciones'!$A$10:$T$198,LOOKUP($D$22,'Gastos Proyecciones'!$C$10:$T$10,'Gastos Proyecciones'!$C$205:$T$205),FALSE)</f>
        <v>0</v>
      </c>
      <c r="E103" s="16"/>
      <c r="F103" s="699">
        <v>0</v>
      </c>
      <c r="G103" s="16"/>
      <c r="H103" s="44">
        <f t="shared" si="7"/>
        <v>0</v>
      </c>
      <c r="I103" s="16"/>
      <c r="J103" s="16"/>
      <c r="K103" s="16"/>
      <c r="L103" s="55" t="e">
        <f t="shared" si="4"/>
        <v>#DIV/0!</v>
      </c>
      <c r="M103" s="16"/>
      <c r="N103" s="55" t="e">
        <f t="shared" si="5"/>
        <v>#DIV/0!</v>
      </c>
      <c r="O103" s="55" t="e">
        <f t="shared" si="6"/>
        <v>#DIV/0!</v>
      </c>
      <c r="P103" s="16">
        <f>VLOOKUP(A103,'Gastos Proyecciones'!$A$10:$T$198,LOOKUP(Ingresos!$O$190,'Gastos Proyecciones'!$C$10:$T$10,'Gastos Proyecciones'!$C$205:$T$205),FALSE)</f>
        <v>0</v>
      </c>
    </row>
    <row r="104" spans="1:16">
      <c r="A104" s="47" t="s">
        <v>1248</v>
      </c>
      <c r="B104" s="739" t="s">
        <v>1249</v>
      </c>
      <c r="C104" s="441" t="s">
        <v>1250</v>
      </c>
      <c r="D104" s="737">
        <f>VLOOKUP(A104,'Gastos Proyecciones'!$A$10:$T$198,LOOKUP($D$22,'Gastos Proyecciones'!$C$10:$T$10,'Gastos Proyecciones'!$C$205:$T$205),FALSE)</f>
        <v>0</v>
      </c>
      <c r="E104" s="16"/>
      <c r="F104" s="699">
        <v>0</v>
      </c>
      <c r="G104" s="16"/>
      <c r="H104" s="44">
        <f t="shared" si="7"/>
        <v>0</v>
      </c>
      <c r="I104" s="16"/>
      <c r="J104" s="16"/>
      <c r="K104" s="16"/>
      <c r="L104" s="52" t="e">
        <f t="shared" si="4"/>
        <v>#DIV/0!</v>
      </c>
      <c r="M104" s="16"/>
      <c r="N104" s="52" t="e">
        <f t="shared" si="5"/>
        <v>#DIV/0!</v>
      </c>
      <c r="O104" s="52" t="e">
        <f t="shared" si="6"/>
        <v>#DIV/0!</v>
      </c>
      <c r="P104" s="16">
        <f>VLOOKUP(A104,'Gastos Proyecciones'!$A$10:$T$198,LOOKUP(Ingresos!$O$190,'Gastos Proyecciones'!$C$10:$T$10,'Gastos Proyecciones'!$C$205:$T$205),FALSE)</f>
        <v>0</v>
      </c>
    </row>
    <row r="105" spans="1:16" s="12" customFormat="1">
      <c r="A105" s="47" t="s">
        <v>1251</v>
      </c>
      <c r="B105" s="75"/>
      <c r="C105" s="440" t="s">
        <v>1252</v>
      </c>
      <c r="D105" s="32">
        <f>SUM(D106:D111)</f>
        <v>0</v>
      </c>
      <c r="E105" s="32">
        <f>SUM(E106:E111)</f>
        <v>0</v>
      </c>
      <c r="F105" s="32" t="e">
        <f>SUM(F106:F120)</f>
        <v>#REF!</v>
      </c>
      <c r="G105" s="32">
        <f>SUM(G106:G111)</f>
        <v>0</v>
      </c>
      <c r="H105" s="32">
        <f t="shared" si="7"/>
        <v>0</v>
      </c>
      <c r="I105" s="32">
        <f>SUM(I106:I111)</f>
        <v>0</v>
      </c>
      <c r="J105" s="32">
        <f>SUM(J106:J111)</f>
        <v>0</v>
      </c>
      <c r="K105" s="32">
        <f>SUM(K106:K111)</f>
        <v>0</v>
      </c>
      <c r="L105" s="50" t="e">
        <f t="shared" si="4"/>
        <v>#DIV/0!</v>
      </c>
      <c r="M105" s="32">
        <f>SUM(M106:M111)</f>
        <v>0</v>
      </c>
      <c r="N105" s="50" t="e">
        <f t="shared" si="5"/>
        <v>#DIV/0!</v>
      </c>
      <c r="O105" s="50" t="e">
        <f t="shared" si="6"/>
        <v>#DIV/0!</v>
      </c>
      <c r="P105" s="32">
        <f>SUM(P106:P111)</f>
        <v>0</v>
      </c>
    </row>
    <row r="106" spans="1:16">
      <c r="A106" s="400" t="s">
        <v>1253</v>
      </c>
      <c r="B106" s="740"/>
      <c r="C106" s="441" t="s">
        <v>1214</v>
      </c>
      <c r="D106" s="737">
        <f>VLOOKUP(A106,'Gastos Proyecciones'!$A$10:$T$198,LOOKUP($D$22,'Gastos Proyecciones'!$C$10:$T$10,'Gastos Proyecciones'!$C$205:$T$205),FALSE)</f>
        <v>0</v>
      </c>
      <c r="E106" s="16"/>
      <c r="F106" s="699">
        <v>0</v>
      </c>
      <c r="G106" s="16"/>
      <c r="H106" s="44">
        <f t="shared" si="7"/>
        <v>0</v>
      </c>
      <c r="I106" s="16"/>
      <c r="J106" s="16"/>
      <c r="K106" s="16"/>
      <c r="L106" s="52" t="e">
        <f t="shared" si="4"/>
        <v>#DIV/0!</v>
      </c>
      <c r="M106" s="16"/>
      <c r="N106" s="52" t="e">
        <f t="shared" si="5"/>
        <v>#DIV/0!</v>
      </c>
      <c r="O106" s="52" t="e">
        <f t="shared" si="6"/>
        <v>#DIV/0!</v>
      </c>
      <c r="P106" s="16">
        <f>VLOOKUP(A106,'Gastos Proyecciones'!$A$10:$T$198,LOOKUP(Ingresos!$O$190,'Gastos Proyecciones'!$C$10:$T$10,'Gastos Proyecciones'!$C$205:$T$205),FALSE)</f>
        <v>0</v>
      </c>
    </row>
    <row r="107" spans="1:16">
      <c r="A107" s="57" t="s">
        <v>1254</v>
      </c>
      <c r="B107" s="740" t="s">
        <v>1255</v>
      </c>
      <c r="C107" s="441" t="s">
        <v>1220</v>
      </c>
      <c r="D107" s="737">
        <f>VLOOKUP(A107,'Gastos Proyecciones'!$A$10:$T$198,LOOKUP($D$22,'Gastos Proyecciones'!$C$10:$T$10,'Gastos Proyecciones'!$C$205:$T$205),FALSE)</f>
        <v>0</v>
      </c>
      <c r="E107" s="16"/>
      <c r="F107" s="699">
        <v>0</v>
      </c>
      <c r="G107" s="16"/>
      <c r="H107" s="44">
        <f t="shared" si="7"/>
        <v>0</v>
      </c>
      <c r="I107" s="16"/>
      <c r="J107" s="16"/>
      <c r="K107" s="16"/>
      <c r="L107" s="52" t="e">
        <f t="shared" si="4"/>
        <v>#DIV/0!</v>
      </c>
      <c r="M107" s="16"/>
      <c r="N107" s="52" t="e">
        <f t="shared" si="5"/>
        <v>#DIV/0!</v>
      </c>
      <c r="O107" s="52" t="e">
        <f t="shared" si="6"/>
        <v>#DIV/0!</v>
      </c>
      <c r="P107" s="16">
        <f>VLOOKUP(A107,'Gastos Proyecciones'!$A$10:$T$198,LOOKUP(Ingresos!$O$190,'Gastos Proyecciones'!$C$10:$T$10,'Gastos Proyecciones'!$C$205:$T$205),FALSE)</f>
        <v>0</v>
      </c>
    </row>
    <row r="108" spans="1:16">
      <c r="A108" s="401" t="s">
        <v>1256</v>
      </c>
      <c r="B108" s="740"/>
      <c r="C108" s="441" t="s">
        <v>1223</v>
      </c>
      <c r="D108" s="737">
        <f>VLOOKUP(A108,'Gastos Proyecciones'!$A$10:$T$198,LOOKUP($D$22,'Gastos Proyecciones'!$C$10:$T$10,'Gastos Proyecciones'!$C$205:$T$205),FALSE)</f>
        <v>0</v>
      </c>
      <c r="E108" s="16"/>
      <c r="F108" s="699">
        <v>0</v>
      </c>
      <c r="G108" s="16"/>
      <c r="H108" s="44">
        <f t="shared" si="7"/>
        <v>0</v>
      </c>
      <c r="I108" s="16"/>
      <c r="J108" s="16"/>
      <c r="K108" s="16"/>
      <c r="L108" s="52" t="e">
        <f t="shared" si="4"/>
        <v>#DIV/0!</v>
      </c>
      <c r="M108" s="16"/>
      <c r="N108" s="52" t="e">
        <f t="shared" si="5"/>
        <v>#DIV/0!</v>
      </c>
      <c r="O108" s="52" t="e">
        <f t="shared" si="6"/>
        <v>#DIV/0!</v>
      </c>
      <c r="P108" s="16">
        <f>VLOOKUP(A108,'Gastos Proyecciones'!$A$10:$T$198,LOOKUP(Ingresos!$O$190,'Gastos Proyecciones'!$C$10:$T$10,'Gastos Proyecciones'!$C$205:$T$205),FALSE)</f>
        <v>0</v>
      </c>
    </row>
    <row r="109" spans="1:16">
      <c r="A109" s="400" t="s">
        <v>1257</v>
      </c>
      <c r="B109" s="740"/>
      <c r="C109" s="441" t="s">
        <v>1229</v>
      </c>
      <c r="D109" s="737">
        <f>VLOOKUP(A109,'Gastos Proyecciones'!$A$10:$T$198,LOOKUP($D$22,'Gastos Proyecciones'!$C$10:$T$10,'Gastos Proyecciones'!$C$205:$T$205),FALSE)</f>
        <v>0</v>
      </c>
      <c r="E109" s="16"/>
      <c r="F109" s="699">
        <v>0</v>
      </c>
      <c r="G109" s="16"/>
      <c r="H109" s="44">
        <f t="shared" si="7"/>
        <v>0</v>
      </c>
      <c r="I109" s="16"/>
      <c r="J109" s="16"/>
      <c r="K109" s="16"/>
      <c r="L109" s="52" t="e">
        <f t="shared" si="4"/>
        <v>#DIV/0!</v>
      </c>
      <c r="M109" s="16"/>
      <c r="N109" s="52" t="e">
        <f t="shared" si="5"/>
        <v>#DIV/0!</v>
      </c>
      <c r="O109" s="52" t="e">
        <f t="shared" si="6"/>
        <v>#DIV/0!</v>
      </c>
      <c r="P109" s="16">
        <f>VLOOKUP(A109,'Gastos Proyecciones'!$A$10:$T$198,LOOKUP(Ingresos!$O$190,'Gastos Proyecciones'!$C$10:$T$10,'Gastos Proyecciones'!$C$205:$T$205),FALSE)</f>
        <v>0</v>
      </c>
    </row>
    <row r="110" spans="1:16">
      <c r="A110" s="47" t="s">
        <v>1258</v>
      </c>
      <c r="B110" s="740"/>
      <c r="C110" s="441" t="s">
        <v>1259</v>
      </c>
      <c r="D110" s="737">
        <f>VLOOKUP(A110,'Gastos Proyecciones'!$A$10:$T$198,LOOKUP($D$22,'Gastos Proyecciones'!$C$10:$T$10,'Gastos Proyecciones'!$C$205:$T$205),FALSE)</f>
        <v>0</v>
      </c>
      <c r="E110" s="16"/>
      <c r="F110" s="699">
        <v>0</v>
      </c>
      <c r="G110" s="16"/>
      <c r="H110" s="44">
        <f t="shared" si="7"/>
        <v>0</v>
      </c>
      <c r="I110" s="16"/>
      <c r="J110" s="16"/>
      <c r="K110" s="16"/>
      <c r="L110" s="52" t="e">
        <f t="shared" si="4"/>
        <v>#DIV/0!</v>
      </c>
      <c r="M110" s="16"/>
      <c r="N110" s="52" t="e">
        <f t="shared" si="5"/>
        <v>#DIV/0!</v>
      </c>
      <c r="O110" s="52" t="e">
        <f t="shared" si="6"/>
        <v>#DIV/0!</v>
      </c>
      <c r="P110" s="16">
        <f>VLOOKUP(A110,'Gastos Proyecciones'!$A$10:$T$198,LOOKUP(Ingresos!$O$190,'Gastos Proyecciones'!$C$10:$T$10,'Gastos Proyecciones'!$C$205:$T$205),FALSE)</f>
        <v>0</v>
      </c>
    </row>
    <row r="111" spans="1:16">
      <c r="A111" s="400" t="s">
        <v>1260</v>
      </c>
      <c r="B111" s="740"/>
      <c r="C111" s="441" t="s">
        <v>1238</v>
      </c>
      <c r="D111" s="737">
        <f>VLOOKUP(A111,'Gastos Proyecciones'!$A$10:$T$198,LOOKUP($D$22,'Gastos Proyecciones'!$C$10:$T$10,'Gastos Proyecciones'!$C$205:$T$205),FALSE)</f>
        <v>0</v>
      </c>
      <c r="E111" s="16"/>
      <c r="F111" s="699">
        <v>0</v>
      </c>
      <c r="G111" s="16"/>
      <c r="H111" s="44">
        <f t="shared" si="7"/>
        <v>0</v>
      </c>
      <c r="I111" s="16"/>
      <c r="J111" s="16"/>
      <c r="K111" s="16"/>
      <c r="L111" s="52" t="e">
        <f t="shared" si="4"/>
        <v>#DIV/0!</v>
      </c>
      <c r="M111" s="16"/>
      <c r="N111" s="52" t="e">
        <f t="shared" si="5"/>
        <v>#DIV/0!</v>
      </c>
      <c r="O111" s="52" t="e">
        <f t="shared" si="6"/>
        <v>#DIV/0!</v>
      </c>
      <c r="P111" s="16">
        <f>VLOOKUP(A111,'Gastos Proyecciones'!$A$10:$T$198,LOOKUP(Ingresos!$O$190,'Gastos Proyecciones'!$C$10:$T$10,'Gastos Proyecciones'!$C$205:$T$205),FALSE)</f>
        <v>0</v>
      </c>
    </row>
    <row r="112" spans="1:16" s="12" customFormat="1">
      <c r="A112" s="47" t="s">
        <v>1261</v>
      </c>
      <c r="B112" s="75"/>
      <c r="C112" s="440" t="s">
        <v>1262</v>
      </c>
      <c r="D112" s="32">
        <f>SUM(D113:D126)</f>
        <v>1571443.6400000001</v>
      </c>
      <c r="E112" s="32">
        <f>SUM(E113:E126)</f>
        <v>0</v>
      </c>
      <c r="F112" s="736" t="e">
        <f>+E111+#REF!+#REF!-#REF!-#REF!</f>
        <v>#REF!</v>
      </c>
      <c r="G112" s="32">
        <f>SUM(G113:G126)</f>
        <v>0</v>
      </c>
      <c r="H112" s="32">
        <f t="shared" si="7"/>
        <v>0</v>
      </c>
      <c r="I112" s="32">
        <f>SUM(I113:I126)</f>
        <v>0</v>
      </c>
      <c r="J112" s="32">
        <f>SUM(J113:J126)</f>
        <v>0</v>
      </c>
      <c r="K112" s="32">
        <f>SUM(K113:K126)</f>
        <v>0</v>
      </c>
      <c r="L112" s="50" t="e">
        <f t="shared" si="4"/>
        <v>#DIV/0!</v>
      </c>
      <c r="M112" s="32">
        <f>SUM(M113:M126)</f>
        <v>0</v>
      </c>
      <c r="N112" s="50" t="e">
        <f t="shared" si="5"/>
        <v>#DIV/0!</v>
      </c>
      <c r="O112" s="50">
        <f t="shared" si="6"/>
        <v>0</v>
      </c>
      <c r="P112" s="32">
        <f>SUM(P113:P126)</f>
        <v>1571443.6400000001</v>
      </c>
    </row>
    <row r="113" spans="1:16">
      <c r="A113" s="47" t="s">
        <v>1263</v>
      </c>
      <c r="B113" s="741" t="s">
        <v>1264</v>
      </c>
      <c r="C113" s="441" t="s">
        <v>1214</v>
      </c>
      <c r="D113" s="737">
        <f>VLOOKUP(A113,'Gastos Proyecciones'!$A$10:$T$198,LOOKUP($D$22,'Gastos Proyecciones'!$C$10:$T$10,'Gastos Proyecciones'!$C$205:$T$205),FALSE)</f>
        <v>781984</v>
      </c>
      <c r="E113" s="16"/>
      <c r="F113" s="699">
        <v>0</v>
      </c>
      <c r="G113" s="16"/>
      <c r="H113" s="44">
        <f t="shared" si="7"/>
        <v>0</v>
      </c>
      <c r="I113" s="16"/>
      <c r="J113" s="16"/>
      <c r="K113" s="16"/>
      <c r="L113" s="52" t="e">
        <f t="shared" si="4"/>
        <v>#DIV/0!</v>
      </c>
      <c r="M113" s="16"/>
      <c r="N113" s="52" t="e">
        <f t="shared" si="5"/>
        <v>#DIV/0!</v>
      </c>
      <c r="O113" s="52">
        <f t="shared" si="6"/>
        <v>0</v>
      </c>
      <c r="P113" s="16">
        <f>VLOOKUP(A113,'Gastos Proyecciones'!$A$10:$T$198,LOOKUP(Ingresos!$O$190,'Gastos Proyecciones'!$C$10:$T$10,'Gastos Proyecciones'!$C$205:$T$205),FALSE)</f>
        <v>781984</v>
      </c>
    </row>
    <row r="114" spans="1:16">
      <c r="A114" s="47" t="s">
        <v>1265</v>
      </c>
      <c r="B114" s="741" t="s">
        <v>1266</v>
      </c>
      <c r="C114" s="441" t="s">
        <v>1217</v>
      </c>
      <c r="D114" s="737">
        <f>VLOOKUP(A114,'Gastos Proyecciones'!$A$10:$T$198,LOOKUP($D$22,'Gastos Proyecciones'!$C$10:$T$10,'Gastos Proyecciones'!$C$205:$T$205),FALSE)</f>
        <v>61000</v>
      </c>
      <c r="E114" s="16"/>
      <c r="F114" s="699">
        <v>0</v>
      </c>
      <c r="G114" s="16"/>
      <c r="H114" s="44">
        <f t="shared" si="7"/>
        <v>0</v>
      </c>
      <c r="I114" s="16"/>
      <c r="J114" s="16"/>
      <c r="K114" s="16"/>
      <c r="L114" s="52" t="e">
        <f t="shared" si="4"/>
        <v>#DIV/0!</v>
      </c>
      <c r="M114" s="16"/>
      <c r="N114" s="52" t="e">
        <f t="shared" si="5"/>
        <v>#DIV/0!</v>
      </c>
      <c r="O114" s="52">
        <f t="shared" si="6"/>
        <v>0</v>
      </c>
      <c r="P114" s="16">
        <f>VLOOKUP(A114,'Gastos Proyecciones'!$A$10:$T$198,LOOKUP(Ingresos!$O$190,'Gastos Proyecciones'!$C$10:$T$10,'Gastos Proyecciones'!$C$205:$T$205),FALSE)</f>
        <v>61000</v>
      </c>
    </row>
    <row r="115" spans="1:16">
      <c r="A115" s="47" t="s">
        <v>1267</v>
      </c>
      <c r="B115" s="741" t="s">
        <v>1268</v>
      </c>
      <c r="C115" s="441" t="s">
        <v>1220</v>
      </c>
      <c r="D115" s="737">
        <f>VLOOKUP(A115,'Gastos Proyecciones'!$A$10:$T$198,LOOKUP($D$22,'Gastos Proyecciones'!$C$10:$T$10,'Gastos Proyecciones'!$C$205:$T$205),FALSE)</f>
        <v>20000</v>
      </c>
      <c r="E115" s="16"/>
      <c r="F115" s="699">
        <v>0</v>
      </c>
      <c r="G115" s="16"/>
      <c r="H115" s="44">
        <f t="shared" si="7"/>
        <v>0</v>
      </c>
      <c r="I115" s="16"/>
      <c r="J115" s="16"/>
      <c r="K115" s="16"/>
      <c r="L115" s="52" t="e">
        <f t="shared" si="4"/>
        <v>#DIV/0!</v>
      </c>
      <c r="M115" s="16"/>
      <c r="N115" s="52" t="e">
        <f t="shared" si="5"/>
        <v>#DIV/0!</v>
      </c>
      <c r="O115" s="52">
        <f t="shared" si="6"/>
        <v>0</v>
      </c>
      <c r="P115" s="16">
        <f>VLOOKUP(A115,'Gastos Proyecciones'!$A$10:$T$198,LOOKUP(Ingresos!$O$190,'Gastos Proyecciones'!$C$10:$T$10,'Gastos Proyecciones'!$C$205:$T$205),FALSE)</f>
        <v>20000</v>
      </c>
    </row>
    <row r="116" spans="1:16">
      <c r="A116" s="47" t="s">
        <v>1269</v>
      </c>
      <c r="B116" s="741" t="s">
        <v>1270</v>
      </c>
      <c r="C116" s="441" t="s">
        <v>921</v>
      </c>
      <c r="D116" s="737">
        <f>VLOOKUP(A116,'Gastos Proyecciones'!$A$10:$T$198,LOOKUP($D$22,'Gastos Proyecciones'!$C$10:$T$10,'Gastos Proyecciones'!$C$205:$T$205),FALSE)</f>
        <v>5200</v>
      </c>
      <c r="E116" s="16"/>
      <c r="F116" s="699">
        <v>0</v>
      </c>
      <c r="G116" s="16"/>
      <c r="H116" s="44">
        <f t="shared" si="7"/>
        <v>0</v>
      </c>
      <c r="I116" s="16"/>
      <c r="J116" s="16"/>
      <c r="K116" s="16"/>
      <c r="L116" s="52" t="e">
        <f t="shared" si="4"/>
        <v>#DIV/0!</v>
      </c>
      <c r="M116" s="16"/>
      <c r="N116" s="52" t="e">
        <f t="shared" si="5"/>
        <v>#DIV/0!</v>
      </c>
      <c r="O116" s="52">
        <f t="shared" si="6"/>
        <v>0</v>
      </c>
      <c r="P116" s="16">
        <f>VLOOKUP(A116,'Gastos Proyecciones'!$A$10:$T$198,LOOKUP(Ingresos!$O$190,'Gastos Proyecciones'!$C$10:$T$10,'Gastos Proyecciones'!$C$205:$T$205),FALSE)</f>
        <v>5200</v>
      </c>
    </row>
    <row r="117" spans="1:16">
      <c r="A117" s="47" t="s">
        <v>1271</v>
      </c>
      <c r="B117" s="741" t="s">
        <v>1272</v>
      </c>
      <c r="C117" s="441" t="s">
        <v>1226</v>
      </c>
      <c r="D117" s="737">
        <f>VLOOKUP(A117,'Gastos Proyecciones'!$A$10:$T$198,LOOKUP($D$22,'Gastos Proyecciones'!$C$10:$T$10,'Gastos Proyecciones'!$C$205:$T$205),FALSE)</f>
        <v>76440</v>
      </c>
      <c r="E117" s="16"/>
      <c r="F117" s="699">
        <v>0</v>
      </c>
      <c r="G117" s="16"/>
      <c r="H117" s="44">
        <f t="shared" si="7"/>
        <v>0</v>
      </c>
      <c r="I117" s="16"/>
      <c r="J117" s="16"/>
      <c r="K117" s="16"/>
      <c r="L117" s="52" t="e">
        <f t="shared" si="4"/>
        <v>#DIV/0!</v>
      </c>
      <c r="M117" s="16"/>
      <c r="N117" s="52" t="e">
        <f t="shared" si="5"/>
        <v>#DIV/0!</v>
      </c>
      <c r="O117" s="52">
        <f t="shared" si="6"/>
        <v>0</v>
      </c>
      <c r="P117" s="16">
        <f>VLOOKUP(A117,'Gastos Proyecciones'!$A$10:$T$198,LOOKUP(Ingresos!$O$190,'Gastos Proyecciones'!$C$10:$T$10,'Gastos Proyecciones'!$C$205:$T$205),FALSE)</f>
        <v>76440</v>
      </c>
    </row>
    <row r="118" spans="1:16">
      <c r="A118" s="47" t="s">
        <v>1273</v>
      </c>
      <c r="B118" s="741" t="s">
        <v>1274</v>
      </c>
      <c r="C118" s="441" t="s">
        <v>923</v>
      </c>
      <c r="D118" s="737">
        <f>VLOOKUP(A118,'Gastos Proyecciones'!$A$10:$T$198,LOOKUP($D$22,'Gastos Proyecciones'!$C$10:$T$10,'Gastos Proyecciones'!$C$205:$T$205),FALSE)</f>
        <v>28000</v>
      </c>
      <c r="E118" s="16"/>
      <c r="F118" s="699">
        <v>0</v>
      </c>
      <c r="G118" s="16"/>
      <c r="H118" s="44">
        <f t="shared" si="7"/>
        <v>0</v>
      </c>
      <c r="I118" s="16"/>
      <c r="J118" s="16"/>
      <c r="K118" s="16"/>
      <c r="L118" s="52" t="e">
        <f t="shared" si="4"/>
        <v>#DIV/0!</v>
      </c>
      <c r="M118" s="16"/>
      <c r="N118" s="52" t="e">
        <f t="shared" si="5"/>
        <v>#DIV/0!</v>
      </c>
      <c r="O118" s="52">
        <f t="shared" si="6"/>
        <v>0</v>
      </c>
      <c r="P118" s="16">
        <f>VLOOKUP(A118,'Gastos Proyecciones'!$A$10:$T$198,LOOKUP(Ingresos!$O$190,'Gastos Proyecciones'!$C$10:$T$10,'Gastos Proyecciones'!$C$205:$T$205),FALSE)</f>
        <v>28000</v>
      </c>
    </row>
    <row r="119" spans="1:16" s="43" customFormat="1">
      <c r="A119" s="47" t="s">
        <v>1275</v>
      </c>
      <c r="B119" s="741" t="s">
        <v>1276</v>
      </c>
      <c r="C119" s="441" t="s">
        <v>1232</v>
      </c>
      <c r="D119" s="737">
        <f>VLOOKUP(A119,'Gastos Proyecciones'!$A$10:$T$198,LOOKUP($D$22,'Gastos Proyecciones'!$C$10:$T$10,'Gastos Proyecciones'!$C$205:$T$205),FALSE)</f>
        <v>60284.639999999999</v>
      </c>
      <c r="E119" s="16"/>
      <c r="F119" s="699">
        <v>0</v>
      </c>
      <c r="G119" s="16"/>
      <c r="H119" s="44">
        <f t="shared" si="7"/>
        <v>0</v>
      </c>
      <c r="I119" s="16"/>
      <c r="J119" s="16"/>
      <c r="K119" s="16"/>
      <c r="L119" s="55" t="e">
        <f t="shared" si="4"/>
        <v>#DIV/0!</v>
      </c>
      <c r="M119" s="16"/>
      <c r="N119" s="55" t="e">
        <f t="shared" si="5"/>
        <v>#DIV/0!</v>
      </c>
      <c r="O119" s="55">
        <f t="shared" si="6"/>
        <v>0</v>
      </c>
      <c r="P119" s="16">
        <f>VLOOKUP(A119,'Gastos Proyecciones'!$A$10:$T$198,LOOKUP(Ingresos!$O$190,'Gastos Proyecciones'!$C$10:$T$10,'Gastos Proyecciones'!$C$205:$T$205),FALSE)</f>
        <v>60284.639999999999</v>
      </c>
    </row>
    <row r="120" spans="1:16">
      <c r="A120" s="47" t="s">
        <v>1277</v>
      </c>
      <c r="B120" s="741" t="s">
        <v>1278</v>
      </c>
      <c r="C120" s="441" t="s">
        <v>1235</v>
      </c>
      <c r="D120" s="737">
        <f>VLOOKUP(A120,'Gastos Proyecciones'!$A$10:$T$198,LOOKUP($D$22,'Gastos Proyecciones'!$C$10:$T$10,'Gastos Proyecciones'!$C$205:$T$205),FALSE)</f>
        <v>234935</v>
      </c>
      <c r="E120" s="16"/>
      <c r="F120" s="699">
        <v>0</v>
      </c>
      <c r="G120" s="16"/>
      <c r="H120" s="44">
        <f t="shared" si="7"/>
        <v>0</v>
      </c>
      <c r="I120" s="16"/>
      <c r="J120" s="16"/>
      <c r="K120" s="16"/>
      <c r="L120" s="52" t="e">
        <f t="shared" si="4"/>
        <v>#DIV/0!</v>
      </c>
      <c r="M120" s="16"/>
      <c r="N120" s="52" t="e">
        <f t="shared" si="5"/>
        <v>#DIV/0!</v>
      </c>
      <c r="O120" s="52">
        <f t="shared" si="6"/>
        <v>0</v>
      </c>
      <c r="P120" s="16">
        <f>VLOOKUP(A120,'Gastos Proyecciones'!$A$10:$T$198,LOOKUP(Ingresos!$O$190,'Gastos Proyecciones'!$C$10:$T$10,'Gastos Proyecciones'!$C$205:$T$205),FALSE)</f>
        <v>234935</v>
      </c>
    </row>
    <row r="121" spans="1:16" s="43" customFormat="1">
      <c r="A121" s="47" t="s">
        <v>1279</v>
      </c>
      <c r="B121" s="741" t="s">
        <v>1280</v>
      </c>
      <c r="C121" s="441" t="s">
        <v>1238</v>
      </c>
      <c r="D121" s="737">
        <f>VLOOKUP(A121,'Gastos Proyecciones'!$A$10:$T$198,LOOKUP($D$22,'Gastos Proyecciones'!$C$10:$T$10,'Gastos Proyecciones'!$C$205:$T$205),FALSE)</f>
        <v>159600</v>
      </c>
      <c r="E121" s="16"/>
      <c r="F121" s="699">
        <v>0</v>
      </c>
      <c r="G121" s="16"/>
      <c r="H121" s="44">
        <f t="shared" si="7"/>
        <v>0</v>
      </c>
      <c r="I121" s="16"/>
      <c r="J121" s="16"/>
      <c r="K121" s="16"/>
      <c r="L121" s="55" t="e">
        <f t="shared" si="4"/>
        <v>#DIV/0!</v>
      </c>
      <c r="M121" s="16"/>
      <c r="N121" s="55" t="e">
        <f t="shared" si="5"/>
        <v>#DIV/0!</v>
      </c>
      <c r="O121" s="55">
        <f t="shared" si="6"/>
        <v>0</v>
      </c>
      <c r="P121" s="16">
        <f>VLOOKUP(A121,'Gastos Proyecciones'!$A$10:$T$198,LOOKUP(Ingresos!$O$190,'Gastos Proyecciones'!$C$10:$T$10,'Gastos Proyecciones'!$C$205:$T$205),FALSE)</f>
        <v>159600</v>
      </c>
    </row>
    <row r="122" spans="1:16">
      <c r="A122" s="47" t="s">
        <v>1281</v>
      </c>
      <c r="B122" s="741" t="s">
        <v>1282</v>
      </c>
      <c r="C122" s="441" t="s">
        <v>919</v>
      </c>
      <c r="D122" s="737">
        <f>VLOOKUP(A122,'Gastos Proyecciones'!$A$10:$T$198,LOOKUP($D$22,'Gastos Proyecciones'!$C$10:$T$10,'Gastos Proyecciones'!$C$205:$T$205),FALSE)</f>
        <v>20000</v>
      </c>
      <c r="E122" s="16"/>
      <c r="F122" s="699">
        <v>0</v>
      </c>
      <c r="G122" s="16"/>
      <c r="H122" s="44">
        <f t="shared" si="7"/>
        <v>0</v>
      </c>
      <c r="I122" s="16"/>
      <c r="J122" s="16"/>
      <c r="K122" s="16"/>
      <c r="L122" s="52" t="e">
        <f t="shared" si="4"/>
        <v>#DIV/0!</v>
      </c>
      <c r="M122" s="16"/>
      <c r="N122" s="52" t="e">
        <f t="shared" si="5"/>
        <v>#DIV/0!</v>
      </c>
      <c r="O122" s="52">
        <f t="shared" si="6"/>
        <v>0</v>
      </c>
      <c r="P122" s="16">
        <f>VLOOKUP(A122,'Gastos Proyecciones'!$A$10:$T$198,LOOKUP(Ingresos!$O$190,'Gastos Proyecciones'!$C$10:$T$10,'Gastos Proyecciones'!$C$205:$T$205),FALSE)</f>
        <v>20000</v>
      </c>
    </row>
    <row r="123" spans="1:16">
      <c r="A123" s="47" t="s">
        <v>1283</v>
      </c>
      <c r="B123" s="741" t="s">
        <v>1284</v>
      </c>
      <c r="C123" s="441" t="s">
        <v>1244</v>
      </c>
      <c r="D123" s="737">
        <f>VLOOKUP(A123,'Gastos Proyecciones'!$A$10:$T$198,LOOKUP($D$22,'Gastos Proyecciones'!$C$10:$T$10,'Gastos Proyecciones'!$C$205:$T$205),FALSE)</f>
        <v>49000</v>
      </c>
      <c r="E123" s="16"/>
      <c r="F123" s="699">
        <v>0</v>
      </c>
      <c r="G123" s="16"/>
      <c r="H123" s="44">
        <f t="shared" si="7"/>
        <v>0</v>
      </c>
      <c r="I123" s="16"/>
      <c r="J123" s="16"/>
      <c r="K123" s="16"/>
      <c r="L123" s="52" t="e">
        <f t="shared" si="4"/>
        <v>#DIV/0!</v>
      </c>
      <c r="M123" s="16"/>
      <c r="N123" s="52" t="e">
        <f t="shared" si="5"/>
        <v>#DIV/0!</v>
      </c>
      <c r="O123" s="52">
        <f t="shared" si="6"/>
        <v>0</v>
      </c>
      <c r="P123" s="16">
        <f>VLOOKUP(A123,'Gastos Proyecciones'!$A$10:$T$198,LOOKUP(Ingresos!$O$190,'Gastos Proyecciones'!$C$10:$T$10,'Gastos Proyecciones'!$C$205:$T$205),FALSE)</f>
        <v>49000</v>
      </c>
    </row>
    <row r="124" spans="1:16">
      <c r="A124" s="47" t="s">
        <v>1285</v>
      </c>
      <c r="B124" s="741" t="s">
        <v>1286</v>
      </c>
      <c r="C124" s="441" t="s">
        <v>1247</v>
      </c>
      <c r="D124" s="737">
        <f>VLOOKUP(A124,'Gastos Proyecciones'!$A$10:$T$198,LOOKUP($D$22,'Gastos Proyecciones'!$C$10:$T$10,'Gastos Proyecciones'!$C$205:$T$205),FALSE)</f>
        <v>5000</v>
      </c>
      <c r="E124" s="16"/>
      <c r="F124" s="699">
        <v>0</v>
      </c>
      <c r="G124" s="16"/>
      <c r="H124" s="44">
        <f t="shared" si="7"/>
        <v>0</v>
      </c>
      <c r="I124" s="16"/>
      <c r="J124" s="16"/>
      <c r="K124" s="16"/>
      <c r="L124" s="52" t="e">
        <f t="shared" si="4"/>
        <v>#DIV/0!</v>
      </c>
      <c r="M124" s="16"/>
      <c r="N124" s="52" t="e">
        <f t="shared" si="5"/>
        <v>#DIV/0!</v>
      </c>
      <c r="O124" s="52">
        <f t="shared" si="6"/>
        <v>0</v>
      </c>
      <c r="P124" s="16">
        <f>VLOOKUP(A124,'Gastos Proyecciones'!$A$10:$T$198,LOOKUP(Ingresos!$O$190,'Gastos Proyecciones'!$C$10:$T$10,'Gastos Proyecciones'!$C$205:$T$205),FALSE)</f>
        <v>5000</v>
      </c>
    </row>
    <row r="125" spans="1:16">
      <c r="A125" s="57" t="s">
        <v>1287</v>
      </c>
      <c r="B125" s="741" t="s">
        <v>1288</v>
      </c>
      <c r="C125" s="441" t="s">
        <v>922</v>
      </c>
      <c r="D125" s="737">
        <f>VLOOKUP(A125,'Gastos Proyecciones'!$A$10:$T$198,LOOKUP($D$22,'Gastos Proyecciones'!$C$10:$T$10,'Gastos Proyecciones'!$C$205:$T$205),FALSE)</f>
        <v>30000</v>
      </c>
      <c r="E125" s="16"/>
      <c r="F125" s="699">
        <v>0</v>
      </c>
      <c r="G125" s="16"/>
      <c r="H125" s="44">
        <f t="shared" si="7"/>
        <v>0</v>
      </c>
      <c r="I125" s="16"/>
      <c r="J125" s="16"/>
      <c r="K125" s="16"/>
      <c r="L125" s="52" t="e">
        <f t="shared" si="4"/>
        <v>#DIV/0!</v>
      </c>
      <c r="M125" s="16"/>
      <c r="N125" s="52" t="e">
        <f t="shared" si="5"/>
        <v>#DIV/0!</v>
      </c>
      <c r="O125" s="52">
        <f t="shared" si="6"/>
        <v>0</v>
      </c>
      <c r="P125" s="16">
        <f>VLOOKUP(A125,'Gastos Proyecciones'!$A$10:$T$198,LOOKUP(Ingresos!$O$190,'Gastos Proyecciones'!$C$10:$T$10,'Gastos Proyecciones'!$C$205:$T$205),FALSE)</f>
        <v>30000</v>
      </c>
    </row>
    <row r="126" spans="1:16">
      <c r="A126" s="47" t="s">
        <v>1290</v>
      </c>
      <c r="B126" s="742" t="s">
        <v>1294</v>
      </c>
      <c r="C126" s="441" t="s">
        <v>920</v>
      </c>
      <c r="D126" s="737">
        <f>VLOOKUP(A126,'Gastos Proyecciones'!$A$10:$T$198,LOOKUP($D$22,'Gastos Proyecciones'!$C$10:$T$10,'Gastos Proyecciones'!$C$205:$T$205),FALSE)</f>
        <v>40000</v>
      </c>
      <c r="E126" s="16"/>
      <c r="F126" s="699">
        <v>0</v>
      </c>
      <c r="G126" s="16"/>
      <c r="H126" s="44">
        <f t="shared" si="7"/>
        <v>0</v>
      </c>
      <c r="I126" s="16"/>
      <c r="J126" s="16"/>
      <c r="K126" s="16"/>
      <c r="L126" s="52" t="e">
        <f t="shared" si="4"/>
        <v>#DIV/0!</v>
      </c>
      <c r="M126" s="16"/>
      <c r="N126" s="52" t="e">
        <f t="shared" si="5"/>
        <v>#DIV/0!</v>
      </c>
      <c r="O126" s="52">
        <f t="shared" si="6"/>
        <v>0</v>
      </c>
      <c r="P126" s="16">
        <f>VLOOKUP(A126,'Gastos Proyecciones'!$A$10:$T$198,LOOKUP(Ingresos!$O$190,'Gastos Proyecciones'!$C$10:$T$10,'Gastos Proyecciones'!$C$205:$T$205),FALSE)</f>
        <v>40000</v>
      </c>
    </row>
    <row r="127" spans="1:16" s="12" customFormat="1">
      <c r="A127" s="47" t="s">
        <v>1295</v>
      </c>
      <c r="B127" s="75"/>
      <c r="C127" s="440" t="s">
        <v>1296</v>
      </c>
      <c r="D127" s="32">
        <f>+D128+D142+D149</f>
        <v>0</v>
      </c>
      <c r="E127" s="32">
        <f>+E128+E142+E149</f>
        <v>0</v>
      </c>
      <c r="F127" s="736" t="e">
        <f>+#REF!+#REF!+#REF!-#REF!-#REF!</f>
        <v>#REF!</v>
      </c>
      <c r="G127" s="32">
        <f>+G128+G142+G149</f>
        <v>0</v>
      </c>
      <c r="H127" s="32">
        <f t="shared" si="7"/>
        <v>0</v>
      </c>
      <c r="I127" s="32">
        <f>+I128+I142+I149</f>
        <v>0</v>
      </c>
      <c r="J127" s="32">
        <f>+J128+J142+J149</f>
        <v>0</v>
      </c>
      <c r="K127" s="32">
        <f>+K128+K142+K149</f>
        <v>0</v>
      </c>
      <c r="L127" s="50" t="e">
        <f t="shared" si="4"/>
        <v>#DIV/0!</v>
      </c>
      <c r="M127" s="32">
        <f>+M128+M142+M149</f>
        <v>0</v>
      </c>
      <c r="N127" s="50" t="e">
        <f t="shared" si="5"/>
        <v>#DIV/0!</v>
      </c>
      <c r="O127" s="50" t="e">
        <f t="shared" si="6"/>
        <v>#DIV/0!</v>
      </c>
      <c r="P127" s="32">
        <f>+P128+P142+P149</f>
        <v>0</v>
      </c>
    </row>
    <row r="128" spans="1:16" s="12" customFormat="1">
      <c r="A128" s="58" t="s">
        <v>1297</v>
      </c>
      <c r="B128" s="75"/>
      <c r="C128" s="440" t="s">
        <v>1211</v>
      </c>
      <c r="D128" s="32">
        <f>SUM(D129:D141)</f>
        <v>0</v>
      </c>
      <c r="E128" s="32">
        <f>SUM(E129:E141)</f>
        <v>0</v>
      </c>
      <c r="F128" s="736" t="e">
        <f>+E126+#REF!+#REF!-#REF!-#REF!</f>
        <v>#REF!</v>
      </c>
      <c r="G128" s="32">
        <f>SUM(G129:G141)</f>
        <v>0</v>
      </c>
      <c r="H128" s="32">
        <f t="shared" si="7"/>
        <v>0</v>
      </c>
      <c r="I128" s="32">
        <f>SUM(I129:I141)</f>
        <v>0</v>
      </c>
      <c r="J128" s="32">
        <f>SUM(J129:J141)</f>
        <v>0</v>
      </c>
      <c r="K128" s="32">
        <f>SUM(K129:K141)</f>
        <v>0</v>
      </c>
      <c r="L128" s="50" t="e">
        <f t="shared" si="4"/>
        <v>#DIV/0!</v>
      </c>
      <c r="M128" s="32">
        <f>SUM(M129:M141)</f>
        <v>0</v>
      </c>
      <c r="N128" s="50" t="e">
        <f t="shared" si="5"/>
        <v>#DIV/0!</v>
      </c>
      <c r="O128" s="50" t="e">
        <f t="shared" si="6"/>
        <v>#DIV/0!</v>
      </c>
      <c r="P128" s="32">
        <f>SUM(P129:P141)</f>
        <v>0</v>
      </c>
    </row>
    <row r="129" spans="1:16" s="43" customFormat="1">
      <c r="A129" s="57" t="s">
        <v>1298</v>
      </c>
      <c r="B129" s="743" t="s">
        <v>1299</v>
      </c>
      <c r="C129" s="441" t="s">
        <v>1214</v>
      </c>
      <c r="D129" s="737">
        <f>VLOOKUP(A129,'Gastos Proyecciones'!$A$10:$T$198,LOOKUP($D$22,'Gastos Proyecciones'!$C$10:$T$10,'Gastos Proyecciones'!$C$205:$T$205),FALSE)</f>
        <v>0</v>
      </c>
      <c r="E129" s="16"/>
      <c r="F129" s="699">
        <v>0</v>
      </c>
      <c r="G129" s="16"/>
      <c r="H129" s="44">
        <f t="shared" si="7"/>
        <v>0</v>
      </c>
      <c r="I129" s="16"/>
      <c r="J129" s="16"/>
      <c r="K129" s="16"/>
      <c r="L129" s="55" t="e">
        <f t="shared" si="4"/>
        <v>#DIV/0!</v>
      </c>
      <c r="M129" s="16"/>
      <c r="N129" s="55" t="e">
        <f t="shared" si="5"/>
        <v>#DIV/0!</v>
      </c>
      <c r="O129" s="55" t="e">
        <f t="shared" si="6"/>
        <v>#DIV/0!</v>
      </c>
      <c r="P129" s="16">
        <f>VLOOKUP(A129,'Gastos Proyecciones'!$A$10:$T$198,LOOKUP(Ingresos!$O$190,'Gastos Proyecciones'!$C$10:$T$10,'Gastos Proyecciones'!$C$205:$T$205),FALSE)</f>
        <v>0</v>
      </c>
    </row>
    <row r="130" spans="1:16">
      <c r="A130" s="57" t="s">
        <v>1300</v>
      </c>
      <c r="B130" s="743" t="s">
        <v>1301</v>
      </c>
      <c r="C130" s="441" t="s">
        <v>1217</v>
      </c>
      <c r="D130" s="737">
        <f>VLOOKUP(A130,'Gastos Proyecciones'!$A$10:$T$198,LOOKUP($D$22,'Gastos Proyecciones'!$C$10:$T$10,'Gastos Proyecciones'!$C$205:$T$205),FALSE)</f>
        <v>0</v>
      </c>
      <c r="E130" s="16"/>
      <c r="F130" s="699">
        <v>0</v>
      </c>
      <c r="G130" s="16"/>
      <c r="H130" s="44">
        <f t="shared" si="7"/>
        <v>0</v>
      </c>
      <c r="I130" s="16"/>
      <c r="J130" s="16"/>
      <c r="K130" s="16"/>
      <c r="L130" s="52" t="e">
        <f t="shared" si="4"/>
        <v>#DIV/0!</v>
      </c>
      <c r="M130" s="16"/>
      <c r="N130" s="52" t="e">
        <f t="shared" si="5"/>
        <v>#DIV/0!</v>
      </c>
      <c r="O130" s="52" t="e">
        <f t="shared" si="6"/>
        <v>#DIV/0!</v>
      </c>
      <c r="P130" s="16">
        <f>VLOOKUP(A130,'Gastos Proyecciones'!$A$10:$T$198,LOOKUP(Ingresos!$O$190,'Gastos Proyecciones'!$C$10:$T$10,'Gastos Proyecciones'!$C$205:$T$205),FALSE)</f>
        <v>0</v>
      </c>
    </row>
    <row r="131" spans="1:16">
      <c r="A131" s="57" t="s">
        <v>1302</v>
      </c>
      <c r="B131" s="743" t="s">
        <v>1303</v>
      </c>
      <c r="C131" s="441" t="s">
        <v>1220</v>
      </c>
      <c r="D131" s="737">
        <f>VLOOKUP(A131,'Gastos Proyecciones'!$A$10:$T$198,LOOKUP($D$22,'Gastos Proyecciones'!$C$10:$T$10,'Gastos Proyecciones'!$C$205:$T$205),FALSE)</f>
        <v>0</v>
      </c>
      <c r="E131" s="16"/>
      <c r="F131" s="699">
        <v>0</v>
      </c>
      <c r="G131" s="16"/>
      <c r="H131" s="44">
        <f t="shared" si="7"/>
        <v>0</v>
      </c>
      <c r="I131" s="16"/>
      <c r="J131" s="16"/>
      <c r="K131" s="16"/>
      <c r="L131" s="52" t="e">
        <f t="shared" si="4"/>
        <v>#DIV/0!</v>
      </c>
      <c r="M131" s="16"/>
      <c r="N131" s="52" t="e">
        <f t="shared" si="5"/>
        <v>#DIV/0!</v>
      </c>
      <c r="O131" s="52" t="e">
        <f t="shared" si="6"/>
        <v>#DIV/0!</v>
      </c>
      <c r="P131" s="16">
        <f>VLOOKUP(A131,'Gastos Proyecciones'!$A$10:$T$198,LOOKUP(Ingresos!$O$190,'Gastos Proyecciones'!$C$10:$T$10,'Gastos Proyecciones'!$C$205:$T$205),FALSE)</f>
        <v>0</v>
      </c>
    </row>
    <row r="132" spans="1:16">
      <c r="A132" s="57" t="s">
        <v>1304</v>
      </c>
      <c r="B132" s="743" t="s">
        <v>1305</v>
      </c>
      <c r="C132" s="441" t="s">
        <v>1223</v>
      </c>
      <c r="D132" s="737">
        <f>VLOOKUP(A132,'Gastos Proyecciones'!$A$10:$T$198,LOOKUP($D$22,'Gastos Proyecciones'!$C$10:$T$10,'Gastos Proyecciones'!$C$205:$T$205),FALSE)</f>
        <v>0</v>
      </c>
      <c r="E132" s="16"/>
      <c r="F132" s="699">
        <v>0</v>
      </c>
      <c r="G132" s="16"/>
      <c r="H132" s="44">
        <f t="shared" si="7"/>
        <v>0</v>
      </c>
      <c r="I132" s="16"/>
      <c r="J132" s="16"/>
      <c r="K132" s="16"/>
      <c r="L132" s="52" t="e">
        <f t="shared" si="4"/>
        <v>#DIV/0!</v>
      </c>
      <c r="M132" s="16"/>
      <c r="N132" s="52" t="e">
        <f t="shared" si="5"/>
        <v>#DIV/0!</v>
      </c>
      <c r="O132" s="52" t="e">
        <f t="shared" si="6"/>
        <v>#DIV/0!</v>
      </c>
      <c r="P132" s="16">
        <f>VLOOKUP(A132,'Gastos Proyecciones'!$A$10:$T$198,LOOKUP(Ingresos!$O$190,'Gastos Proyecciones'!$C$10:$T$10,'Gastos Proyecciones'!$C$205:$T$205),FALSE)</f>
        <v>0</v>
      </c>
    </row>
    <row r="133" spans="1:16">
      <c r="A133" s="57" t="s">
        <v>1306</v>
      </c>
      <c r="B133" s="743" t="s">
        <v>1307</v>
      </c>
      <c r="C133" s="441" t="s">
        <v>1226</v>
      </c>
      <c r="D133" s="737">
        <f>VLOOKUP(A133,'Gastos Proyecciones'!$A$10:$T$198,LOOKUP($D$22,'Gastos Proyecciones'!$C$10:$T$10,'Gastos Proyecciones'!$C$205:$T$205),FALSE)</f>
        <v>0</v>
      </c>
      <c r="E133" s="16"/>
      <c r="F133" s="699">
        <v>0</v>
      </c>
      <c r="G133" s="16"/>
      <c r="H133" s="44">
        <f t="shared" si="7"/>
        <v>0</v>
      </c>
      <c r="I133" s="16"/>
      <c r="J133" s="16"/>
      <c r="K133" s="16"/>
      <c r="L133" s="52" t="e">
        <f t="shared" si="4"/>
        <v>#DIV/0!</v>
      </c>
      <c r="M133" s="16"/>
      <c r="N133" s="52" t="e">
        <f t="shared" si="5"/>
        <v>#DIV/0!</v>
      </c>
      <c r="O133" s="52" t="e">
        <f t="shared" si="6"/>
        <v>#DIV/0!</v>
      </c>
      <c r="P133" s="16">
        <f>VLOOKUP(A133,'Gastos Proyecciones'!$A$10:$T$198,LOOKUP(Ingresos!$O$190,'Gastos Proyecciones'!$C$10:$T$10,'Gastos Proyecciones'!$C$205:$T$205),FALSE)</f>
        <v>0</v>
      </c>
    </row>
    <row r="134" spans="1:16">
      <c r="A134" s="47" t="s">
        <v>1308</v>
      </c>
      <c r="B134" s="743" t="s">
        <v>1309</v>
      </c>
      <c r="C134" s="441" t="s">
        <v>1229</v>
      </c>
      <c r="D134" s="737">
        <f>VLOOKUP(A134,'Gastos Proyecciones'!$A$10:$T$198,LOOKUP($D$22,'Gastos Proyecciones'!$C$10:$T$10,'Gastos Proyecciones'!$C$205:$T$205),FALSE)</f>
        <v>0</v>
      </c>
      <c r="E134" s="16"/>
      <c r="F134" s="699">
        <v>0</v>
      </c>
      <c r="G134" s="16"/>
      <c r="H134" s="44">
        <f t="shared" si="7"/>
        <v>0</v>
      </c>
      <c r="I134" s="16"/>
      <c r="J134" s="16"/>
      <c r="K134" s="16"/>
      <c r="L134" s="52" t="e">
        <f t="shared" si="4"/>
        <v>#DIV/0!</v>
      </c>
      <c r="M134" s="16"/>
      <c r="N134" s="52" t="e">
        <f t="shared" si="5"/>
        <v>#DIV/0!</v>
      </c>
      <c r="O134" s="52" t="e">
        <f t="shared" si="6"/>
        <v>#DIV/0!</v>
      </c>
      <c r="P134" s="16">
        <f>VLOOKUP(A134,'Gastos Proyecciones'!$A$10:$T$198,LOOKUP(Ingresos!$O$190,'Gastos Proyecciones'!$C$10:$T$10,'Gastos Proyecciones'!$C$205:$T$205),FALSE)</f>
        <v>0</v>
      </c>
    </row>
    <row r="135" spans="1:16">
      <c r="A135" s="47" t="s">
        <v>1310</v>
      </c>
      <c r="B135" s="743" t="s">
        <v>1311</v>
      </c>
      <c r="C135" s="441" t="s">
        <v>1232</v>
      </c>
      <c r="D135" s="737">
        <f>VLOOKUP(A135,'Gastos Proyecciones'!$A$10:$T$198,LOOKUP($D$22,'Gastos Proyecciones'!$C$10:$T$10,'Gastos Proyecciones'!$C$205:$T$205),FALSE)</f>
        <v>0</v>
      </c>
      <c r="E135" s="16"/>
      <c r="F135" s="699">
        <v>0</v>
      </c>
      <c r="G135" s="16"/>
      <c r="H135" s="44">
        <f t="shared" si="7"/>
        <v>0</v>
      </c>
      <c r="I135" s="16"/>
      <c r="J135" s="16"/>
      <c r="K135" s="16"/>
      <c r="L135" s="52" t="e">
        <f t="shared" si="4"/>
        <v>#DIV/0!</v>
      </c>
      <c r="M135" s="16"/>
      <c r="N135" s="52" t="e">
        <f t="shared" si="5"/>
        <v>#DIV/0!</v>
      </c>
      <c r="O135" s="52" t="e">
        <f t="shared" si="6"/>
        <v>#DIV/0!</v>
      </c>
      <c r="P135" s="16">
        <f>VLOOKUP(A135,'Gastos Proyecciones'!$A$10:$T$198,LOOKUP(Ingresos!$O$190,'Gastos Proyecciones'!$C$10:$T$10,'Gastos Proyecciones'!$C$205:$T$205),FALSE)</f>
        <v>0</v>
      </c>
    </row>
    <row r="136" spans="1:16">
      <c r="A136" s="47" t="s">
        <v>1312</v>
      </c>
      <c r="B136" s="743" t="s">
        <v>1313</v>
      </c>
      <c r="C136" s="441" t="s">
        <v>1235</v>
      </c>
      <c r="D136" s="737">
        <f>VLOOKUP(A136,'Gastos Proyecciones'!$A$10:$T$198,LOOKUP($D$22,'Gastos Proyecciones'!$C$10:$T$10,'Gastos Proyecciones'!$C$205:$T$205),FALSE)</f>
        <v>0</v>
      </c>
      <c r="E136" s="16"/>
      <c r="F136" s="699">
        <v>0</v>
      </c>
      <c r="G136" s="16"/>
      <c r="H136" s="44">
        <f t="shared" si="7"/>
        <v>0</v>
      </c>
      <c r="I136" s="16"/>
      <c r="J136" s="16"/>
      <c r="K136" s="16"/>
      <c r="L136" s="52" t="e">
        <f t="shared" si="4"/>
        <v>#DIV/0!</v>
      </c>
      <c r="M136" s="16"/>
      <c r="N136" s="52" t="e">
        <f t="shared" si="5"/>
        <v>#DIV/0!</v>
      </c>
      <c r="O136" s="52" t="e">
        <f t="shared" si="6"/>
        <v>#DIV/0!</v>
      </c>
      <c r="P136" s="16">
        <f>VLOOKUP(A136,'Gastos Proyecciones'!$A$10:$T$198,LOOKUP(Ingresos!$O$190,'Gastos Proyecciones'!$C$10:$T$10,'Gastos Proyecciones'!$C$205:$T$205),FALSE)</f>
        <v>0</v>
      </c>
    </row>
    <row r="137" spans="1:16" ht="12.75" customHeight="1">
      <c r="A137" s="47" t="s">
        <v>1314</v>
      </c>
      <c r="B137" s="743" t="s">
        <v>1315</v>
      </c>
      <c r="C137" s="441" t="s">
        <v>1238</v>
      </c>
      <c r="D137" s="737">
        <f>VLOOKUP(A137,'Gastos Proyecciones'!$A$10:$T$198,LOOKUP($D$22,'Gastos Proyecciones'!$C$10:$T$10,'Gastos Proyecciones'!$C$205:$T$205),FALSE)</f>
        <v>0</v>
      </c>
      <c r="E137" s="16"/>
      <c r="F137" s="699">
        <v>0</v>
      </c>
      <c r="G137" s="16"/>
      <c r="H137" s="44">
        <f t="shared" si="7"/>
        <v>0</v>
      </c>
      <c r="I137" s="16"/>
      <c r="J137" s="16"/>
      <c r="K137" s="16"/>
      <c r="L137" s="52" t="e">
        <f t="shared" si="4"/>
        <v>#DIV/0!</v>
      </c>
      <c r="M137" s="16"/>
      <c r="N137" s="52" t="e">
        <f t="shared" si="5"/>
        <v>#DIV/0!</v>
      </c>
      <c r="O137" s="52" t="e">
        <f t="shared" si="6"/>
        <v>#DIV/0!</v>
      </c>
      <c r="P137" s="16">
        <f>VLOOKUP(A137,'Gastos Proyecciones'!$A$10:$T$198,LOOKUP(Ingresos!$O$190,'Gastos Proyecciones'!$C$10:$T$10,'Gastos Proyecciones'!$C$205:$T$205),FALSE)</f>
        <v>0</v>
      </c>
    </row>
    <row r="138" spans="1:16">
      <c r="A138" s="47" t="s">
        <v>1316</v>
      </c>
      <c r="B138" s="743" t="s">
        <v>1317</v>
      </c>
      <c r="C138" s="441" t="s">
        <v>1241</v>
      </c>
      <c r="D138" s="737">
        <f>VLOOKUP(A138,'Gastos Proyecciones'!$A$10:$T$198,LOOKUP($D$22,'Gastos Proyecciones'!$C$10:$T$10,'Gastos Proyecciones'!$C$205:$T$205),FALSE)</f>
        <v>0</v>
      </c>
      <c r="E138" s="16"/>
      <c r="F138" s="699">
        <v>0</v>
      </c>
      <c r="G138" s="16"/>
      <c r="H138" s="44">
        <f t="shared" si="7"/>
        <v>0</v>
      </c>
      <c r="I138" s="16"/>
      <c r="J138" s="16"/>
      <c r="K138" s="16"/>
      <c r="L138" s="52" t="e">
        <f t="shared" si="4"/>
        <v>#DIV/0!</v>
      </c>
      <c r="M138" s="16"/>
      <c r="N138" s="52" t="e">
        <f t="shared" si="5"/>
        <v>#DIV/0!</v>
      </c>
      <c r="O138" s="52" t="e">
        <f t="shared" si="6"/>
        <v>#DIV/0!</v>
      </c>
      <c r="P138" s="16">
        <f>VLOOKUP(A138,'Gastos Proyecciones'!$A$10:$T$198,LOOKUP(Ingresos!$O$190,'Gastos Proyecciones'!$C$10:$T$10,'Gastos Proyecciones'!$C$205:$T$205),FALSE)</f>
        <v>0</v>
      </c>
    </row>
    <row r="139" spans="1:16">
      <c r="A139" s="57" t="s">
        <v>1318</v>
      </c>
      <c r="B139" s="743" t="s">
        <v>1319</v>
      </c>
      <c r="C139" s="441" t="s">
        <v>1244</v>
      </c>
      <c r="D139" s="737">
        <f>VLOOKUP(A139,'Gastos Proyecciones'!$A$10:$T$198,LOOKUP($D$22,'Gastos Proyecciones'!$C$10:$T$10,'Gastos Proyecciones'!$C$205:$T$205),FALSE)</f>
        <v>0</v>
      </c>
      <c r="E139" s="16"/>
      <c r="F139" s="699">
        <v>0</v>
      </c>
      <c r="G139" s="16"/>
      <c r="H139" s="44">
        <f t="shared" si="7"/>
        <v>0</v>
      </c>
      <c r="I139" s="16"/>
      <c r="J139" s="16"/>
      <c r="K139" s="16"/>
      <c r="L139" s="52" t="e">
        <f t="shared" si="4"/>
        <v>#DIV/0!</v>
      </c>
      <c r="M139" s="16"/>
      <c r="N139" s="52" t="e">
        <f t="shared" si="5"/>
        <v>#DIV/0!</v>
      </c>
      <c r="O139" s="52" t="e">
        <f t="shared" si="6"/>
        <v>#DIV/0!</v>
      </c>
      <c r="P139" s="16">
        <f>VLOOKUP(A139,'Gastos Proyecciones'!$A$10:$T$198,LOOKUP(Ingresos!$O$190,'Gastos Proyecciones'!$C$10:$T$10,'Gastos Proyecciones'!$C$205:$T$205),FALSE)</f>
        <v>0</v>
      </c>
    </row>
    <row r="140" spans="1:16">
      <c r="A140" s="57" t="s">
        <v>1320</v>
      </c>
      <c r="B140" s="743" t="s">
        <v>1321</v>
      </c>
      <c r="C140" s="441" t="s">
        <v>1247</v>
      </c>
      <c r="D140" s="737">
        <f>VLOOKUP(A140,'Gastos Proyecciones'!$A$10:$T$198,LOOKUP($D$22,'Gastos Proyecciones'!$C$10:$T$10,'Gastos Proyecciones'!$C$205:$T$205),FALSE)</f>
        <v>0</v>
      </c>
      <c r="E140" s="16"/>
      <c r="F140" s="699">
        <v>0</v>
      </c>
      <c r="G140" s="16"/>
      <c r="H140" s="44">
        <f t="shared" si="7"/>
        <v>0</v>
      </c>
      <c r="I140" s="16"/>
      <c r="J140" s="16"/>
      <c r="K140" s="16"/>
      <c r="L140" s="52" t="e">
        <f t="shared" si="4"/>
        <v>#DIV/0!</v>
      </c>
      <c r="M140" s="16"/>
      <c r="N140" s="52" t="e">
        <f t="shared" si="5"/>
        <v>#DIV/0!</v>
      </c>
      <c r="O140" s="52" t="e">
        <f t="shared" si="6"/>
        <v>#DIV/0!</v>
      </c>
      <c r="P140" s="16">
        <f>VLOOKUP(A140,'Gastos Proyecciones'!$A$10:$T$198,LOOKUP(Ingresos!$O$190,'Gastos Proyecciones'!$C$10:$T$10,'Gastos Proyecciones'!$C$205:$T$205),FALSE)</f>
        <v>0</v>
      </c>
    </row>
    <row r="141" spans="1:16">
      <c r="A141" s="47" t="s">
        <v>1322</v>
      </c>
      <c r="B141" s="744" t="s">
        <v>1323</v>
      </c>
      <c r="C141" s="441" t="s">
        <v>1324</v>
      </c>
      <c r="D141" s="737">
        <f>VLOOKUP(A141,'Gastos Proyecciones'!$A$10:$T$198,LOOKUP($D$22,'Gastos Proyecciones'!$C$10:$T$10,'Gastos Proyecciones'!$C$205:$T$205),FALSE)</f>
        <v>0</v>
      </c>
      <c r="E141" s="16"/>
      <c r="F141" s="699">
        <v>0</v>
      </c>
      <c r="G141" s="16"/>
      <c r="H141" s="44">
        <f t="shared" si="7"/>
        <v>0</v>
      </c>
      <c r="I141" s="16"/>
      <c r="J141" s="16"/>
      <c r="K141" s="16"/>
      <c r="L141" s="52" t="e">
        <f t="shared" si="4"/>
        <v>#DIV/0!</v>
      </c>
      <c r="M141" s="16"/>
      <c r="N141" s="52" t="e">
        <f t="shared" si="5"/>
        <v>#DIV/0!</v>
      </c>
      <c r="O141" s="52" t="e">
        <f t="shared" si="6"/>
        <v>#DIV/0!</v>
      </c>
      <c r="P141" s="16">
        <f>VLOOKUP(A141,'Gastos Proyecciones'!$A$10:$T$198,LOOKUP(Ingresos!$O$190,'Gastos Proyecciones'!$C$10:$T$10,'Gastos Proyecciones'!$C$205:$T$205),FALSE)</f>
        <v>0</v>
      </c>
    </row>
    <row r="142" spans="1:16" s="12" customFormat="1">
      <c r="A142" s="47" t="s">
        <v>1325</v>
      </c>
      <c r="B142" s="75"/>
      <c r="C142" s="440" t="s">
        <v>1252</v>
      </c>
      <c r="D142" s="32">
        <f>SUM(D143:D148)</f>
        <v>0</v>
      </c>
      <c r="E142" s="32">
        <f>SUM(E143:E148)</f>
        <v>0</v>
      </c>
      <c r="F142" s="736" t="e">
        <f>+E140+#REF!+#REF!-#REF!-#REF!</f>
        <v>#REF!</v>
      </c>
      <c r="G142" s="32">
        <f>SUM(G143:G148)</f>
        <v>0</v>
      </c>
      <c r="H142" s="32">
        <f t="shared" si="7"/>
        <v>0</v>
      </c>
      <c r="I142" s="32">
        <f>SUM(I143:I148)</f>
        <v>0</v>
      </c>
      <c r="J142" s="32">
        <f>SUM(J143:J148)</f>
        <v>0</v>
      </c>
      <c r="K142" s="32">
        <f>SUM(K143:K148)</f>
        <v>0</v>
      </c>
      <c r="L142" s="50" t="e">
        <f t="shared" si="4"/>
        <v>#DIV/0!</v>
      </c>
      <c r="M142" s="32">
        <f>SUM(M143:M148)</f>
        <v>0</v>
      </c>
      <c r="N142" s="50" t="e">
        <f t="shared" si="5"/>
        <v>#DIV/0!</v>
      </c>
      <c r="O142" s="50" t="e">
        <f t="shared" si="6"/>
        <v>#DIV/0!</v>
      </c>
      <c r="P142" s="32">
        <f>SUM(P143:P148)</f>
        <v>0</v>
      </c>
    </row>
    <row r="143" spans="1:16">
      <c r="A143" s="400" t="s">
        <v>1326</v>
      </c>
      <c r="B143" s="75"/>
      <c r="C143" s="441" t="s">
        <v>1214</v>
      </c>
      <c r="D143" s="737">
        <f>VLOOKUP(A143,'Gastos Proyecciones'!$A$10:$T$198,LOOKUP($D$22,'Gastos Proyecciones'!$C$10:$T$10,'Gastos Proyecciones'!$C$205:$T$205),FALSE)</f>
        <v>0</v>
      </c>
      <c r="E143" s="16"/>
      <c r="F143" s="699">
        <v>0</v>
      </c>
      <c r="G143" s="16"/>
      <c r="H143" s="44">
        <f t="shared" si="7"/>
        <v>0</v>
      </c>
      <c r="I143" s="16"/>
      <c r="J143" s="16"/>
      <c r="K143" s="16"/>
      <c r="L143" s="52" t="e">
        <f t="shared" si="4"/>
        <v>#DIV/0!</v>
      </c>
      <c r="M143" s="16"/>
      <c r="N143" s="52" t="e">
        <f t="shared" si="5"/>
        <v>#DIV/0!</v>
      </c>
      <c r="O143" s="52" t="e">
        <f t="shared" si="6"/>
        <v>#DIV/0!</v>
      </c>
      <c r="P143" s="16">
        <f>VLOOKUP(A143,'Gastos Proyecciones'!$A$10:$T$198,LOOKUP(Ingresos!$O$190,'Gastos Proyecciones'!$C$10:$T$10,'Gastos Proyecciones'!$C$205:$T$205),FALSE)</f>
        <v>0</v>
      </c>
    </row>
    <row r="144" spans="1:16" s="43" customFormat="1">
      <c r="A144" s="47" t="s">
        <v>1327</v>
      </c>
      <c r="B144" s="745" t="s">
        <v>1328</v>
      </c>
      <c r="C144" s="441" t="s">
        <v>1220</v>
      </c>
      <c r="D144" s="737">
        <f>VLOOKUP(A144,'Gastos Proyecciones'!$A$10:$T$198,LOOKUP($D$22,'Gastos Proyecciones'!$C$10:$T$10,'Gastos Proyecciones'!$C$205:$T$205),FALSE)</f>
        <v>0</v>
      </c>
      <c r="E144" s="16"/>
      <c r="F144" s="699">
        <v>0</v>
      </c>
      <c r="G144" s="16"/>
      <c r="H144" s="44">
        <f t="shared" si="7"/>
        <v>0</v>
      </c>
      <c r="I144" s="16"/>
      <c r="J144" s="16"/>
      <c r="K144" s="16"/>
      <c r="L144" s="55" t="e">
        <f t="shared" si="4"/>
        <v>#DIV/0!</v>
      </c>
      <c r="M144" s="16"/>
      <c r="N144" s="55" t="e">
        <f t="shared" si="5"/>
        <v>#DIV/0!</v>
      </c>
      <c r="O144" s="55" t="e">
        <f t="shared" si="6"/>
        <v>#DIV/0!</v>
      </c>
      <c r="P144" s="16">
        <f>VLOOKUP(A144,'Gastos Proyecciones'!$A$10:$T$198,LOOKUP(Ingresos!$O$190,'Gastos Proyecciones'!$C$10:$T$10,'Gastos Proyecciones'!$C$205:$T$205),FALSE)</f>
        <v>0</v>
      </c>
    </row>
    <row r="145" spans="1:16" s="43" customFormat="1">
      <c r="A145" s="400" t="s">
        <v>1329</v>
      </c>
      <c r="B145" s="75"/>
      <c r="C145" s="441" t="s">
        <v>1223</v>
      </c>
      <c r="D145" s="737">
        <f>VLOOKUP(A145,'Gastos Proyecciones'!$A$10:$T$198,LOOKUP($D$22,'Gastos Proyecciones'!$C$10:$T$10,'Gastos Proyecciones'!$C$205:$T$205),FALSE)</f>
        <v>0</v>
      </c>
      <c r="E145" s="16"/>
      <c r="F145" s="699">
        <v>0</v>
      </c>
      <c r="G145" s="16"/>
      <c r="H145" s="44">
        <f t="shared" si="7"/>
        <v>0</v>
      </c>
      <c r="I145" s="16"/>
      <c r="J145" s="16"/>
      <c r="K145" s="16"/>
      <c r="L145" s="55" t="e">
        <f t="shared" si="4"/>
        <v>#DIV/0!</v>
      </c>
      <c r="M145" s="16"/>
      <c r="N145" s="55" t="e">
        <f t="shared" si="5"/>
        <v>#DIV/0!</v>
      </c>
      <c r="O145" s="55" t="e">
        <f t="shared" si="6"/>
        <v>#DIV/0!</v>
      </c>
      <c r="P145" s="16">
        <f>VLOOKUP(A145,'Gastos Proyecciones'!$A$10:$T$198,LOOKUP(Ingresos!$O$190,'Gastos Proyecciones'!$C$10:$T$10,'Gastos Proyecciones'!$C$205:$T$205),FALSE)</f>
        <v>0</v>
      </c>
    </row>
    <row r="146" spans="1:16">
      <c r="A146" s="400" t="s">
        <v>1330</v>
      </c>
      <c r="B146" s="75"/>
      <c r="C146" s="441" t="s">
        <v>1229</v>
      </c>
      <c r="D146" s="737">
        <f>VLOOKUP(A146,'Gastos Proyecciones'!$A$10:$T$198,LOOKUP($D$22,'Gastos Proyecciones'!$C$10:$T$10,'Gastos Proyecciones'!$C$205:$T$205),FALSE)</f>
        <v>0</v>
      </c>
      <c r="E146" s="16"/>
      <c r="F146" s="699">
        <v>0</v>
      </c>
      <c r="G146" s="16"/>
      <c r="H146" s="44">
        <f t="shared" si="7"/>
        <v>0</v>
      </c>
      <c r="I146" s="16"/>
      <c r="J146" s="16"/>
      <c r="K146" s="16"/>
      <c r="L146" s="52" t="e">
        <f t="shared" si="4"/>
        <v>#DIV/0!</v>
      </c>
      <c r="M146" s="16"/>
      <c r="N146" s="52" t="e">
        <f t="shared" si="5"/>
        <v>#DIV/0!</v>
      </c>
      <c r="O146" s="52" t="e">
        <f t="shared" si="6"/>
        <v>#DIV/0!</v>
      </c>
      <c r="P146" s="16">
        <f>VLOOKUP(A146,'Gastos Proyecciones'!$A$10:$T$198,LOOKUP(Ingresos!$O$190,'Gastos Proyecciones'!$C$10:$T$10,'Gastos Proyecciones'!$C$205:$T$205),FALSE)</f>
        <v>0</v>
      </c>
    </row>
    <row r="147" spans="1:16">
      <c r="A147" s="47" t="s">
        <v>1331</v>
      </c>
      <c r="B147" s="75"/>
      <c r="C147" s="441" t="s">
        <v>1235</v>
      </c>
      <c r="D147" s="737">
        <f>VLOOKUP(A147,'Gastos Proyecciones'!$A$10:$T$198,LOOKUP($D$22,'Gastos Proyecciones'!$C$10:$T$10,'Gastos Proyecciones'!$C$205:$T$205),FALSE)</f>
        <v>0</v>
      </c>
      <c r="E147" s="16"/>
      <c r="F147" s="699">
        <v>0</v>
      </c>
      <c r="G147" s="16"/>
      <c r="H147" s="44">
        <f t="shared" si="7"/>
        <v>0</v>
      </c>
      <c r="I147" s="16"/>
      <c r="J147" s="16"/>
      <c r="K147" s="16"/>
      <c r="L147" s="52" t="e">
        <f t="shared" si="4"/>
        <v>#DIV/0!</v>
      </c>
      <c r="M147" s="16"/>
      <c r="N147" s="52" t="e">
        <f t="shared" si="5"/>
        <v>#DIV/0!</v>
      </c>
      <c r="O147" s="52" t="e">
        <f t="shared" si="6"/>
        <v>#DIV/0!</v>
      </c>
      <c r="P147" s="16">
        <f>VLOOKUP(A147,'Gastos Proyecciones'!$A$10:$T$198,LOOKUP(Ingresos!$O$190,'Gastos Proyecciones'!$C$10:$T$10,'Gastos Proyecciones'!$C$205:$T$205),FALSE)</f>
        <v>0</v>
      </c>
    </row>
    <row r="148" spans="1:16">
      <c r="A148" s="400" t="s">
        <v>1332</v>
      </c>
      <c r="B148" s="75"/>
      <c r="C148" s="441" t="s">
        <v>1238</v>
      </c>
      <c r="D148" s="737">
        <f>VLOOKUP(A148,'Gastos Proyecciones'!$A$10:$T$198,LOOKUP($D$22,'Gastos Proyecciones'!$C$10:$T$10,'Gastos Proyecciones'!$C$205:$T$205),FALSE)</f>
        <v>0</v>
      </c>
      <c r="E148" s="16"/>
      <c r="F148" s="699">
        <v>0</v>
      </c>
      <c r="G148" s="16"/>
      <c r="H148" s="44">
        <f t="shared" si="7"/>
        <v>0</v>
      </c>
      <c r="I148" s="16"/>
      <c r="J148" s="16"/>
      <c r="K148" s="16"/>
      <c r="L148" s="52" t="e">
        <f t="shared" si="4"/>
        <v>#DIV/0!</v>
      </c>
      <c r="M148" s="16"/>
      <c r="N148" s="52" t="e">
        <f t="shared" si="5"/>
        <v>#DIV/0!</v>
      </c>
      <c r="O148" s="52" t="e">
        <f t="shared" si="6"/>
        <v>#DIV/0!</v>
      </c>
      <c r="P148" s="16">
        <f>VLOOKUP(A148,'Gastos Proyecciones'!$A$10:$T$198,LOOKUP(Ingresos!$O$190,'Gastos Proyecciones'!$C$10:$T$10,'Gastos Proyecciones'!$C$205:$T$205),FALSE)</f>
        <v>0</v>
      </c>
    </row>
    <row r="149" spans="1:16" s="12" customFormat="1">
      <c r="A149" s="47" t="s">
        <v>1333</v>
      </c>
      <c r="B149" s="75"/>
      <c r="C149" s="440" t="s">
        <v>1262</v>
      </c>
      <c r="D149" s="32">
        <f>SUM(D150:D163)</f>
        <v>0</v>
      </c>
      <c r="E149" s="32">
        <f>SUM(E150:E163)</f>
        <v>0</v>
      </c>
      <c r="F149" s="736" t="e">
        <f>+E147+#REF!+#REF!-#REF!-#REF!</f>
        <v>#REF!</v>
      </c>
      <c r="G149" s="32">
        <f>SUM(G150:G163)</f>
        <v>0</v>
      </c>
      <c r="H149" s="32">
        <f t="shared" si="7"/>
        <v>0</v>
      </c>
      <c r="I149" s="32">
        <f>SUM(I150:I163)</f>
        <v>0</v>
      </c>
      <c r="J149" s="32">
        <f>SUM(J150:J163)</f>
        <v>0</v>
      </c>
      <c r="K149" s="32">
        <f>SUM(K150:K163)</f>
        <v>0</v>
      </c>
      <c r="L149" s="50" t="e">
        <f t="shared" si="4"/>
        <v>#DIV/0!</v>
      </c>
      <c r="M149" s="32">
        <f>SUM(M150:M163)</f>
        <v>0</v>
      </c>
      <c r="N149" s="50" t="e">
        <f t="shared" si="5"/>
        <v>#DIV/0!</v>
      </c>
      <c r="O149" s="50" t="e">
        <f t="shared" si="6"/>
        <v>#DIV/0!</v>
      </c>
      <c r="P149" s="32">
        <f>SUM(P150:P163)</f>
        <v>0</v>
      </c>
    </row>
    <row r="150" spans="1:16">
      <c r="A150" s="47" t="s">
        <v>1334</v>
      </c>
      <c r="B150" s="746" t="s">
        <v>1335</v>
      </c>
      <c r="C150" s="441" t="s">
        <v>1214</v>
      </c>
      <c r="D150" s="737">
        <f>VLOOKUP(A150,'Gastos Proyecciones'!$A$10:$T$198,LOOKUP($D$22,'Gastos Proyecciones'!$C$10:$T$10,'Gastos Proyecciones'!$C$205:$T$205),FALSE)</f>
        <v>0</v>
      </c>
      <c r="E150" s="16"/>
      <c r="F150" s="699">
        <v>0</v>
      </c>
      <c r="G150" s="16"/>
      <c r="H150" s="44">
        <f t="shared" si="7"/>
        <v>0</v>
      </c>
      <c r="I150" s="16"/>
      <c r="J150" s="16"/>
      <c r="K150" s="16"/>
      <c r="L150" s="52" t="e">
        <f t="shared" si="4"/>
        <v>#DIV/0!</v>
      </c>
      <c r="M150" s="16"/>
      <c r="N150" s="52" t="e">
        <f t="shared" si="5"/>
        <v>#DIV/0!</v>
      </c>
      <c r="O150" s="52" t="e">
        <f t="shared" si="6"/>
        <v>#DIV/0!</v>
      </c>
      <c r="P150" s="16">
        <f>VLOOKUP(A150,'Gastos Proyecciones'!$A$10:$T$198,LOOKUP(Ingresos!$O$190,'Gastos Proyecciones'!$C$10:$T$10,'Gastos Proyecciones'!$C$205:$T$205),FALSE)</f>
        <v>0</v>
      </c>
    </row>
    <row r="151" spans="1:16">
      <c r="A151" s="47" t="s">
        <v>1336</v>
      </c>
      <c r="B151" s="746" t="s">
        <v>1337</v>
      </c>
      <c r="C151" s="441" t="s">
        <v>1217</v>
      </c>
      <c r="D151" s="737">
        <f>VLOOKUP(A151,'Gastos Proyecciones'!$A$10:$T$198,LOOKUP($D$22,'Gastos Proyecciones'!$C$10:$T$10,'Gastos Proyecciones'!$C$205:$T$205),FALSE)</f>
        <v>0</v>
      </c>
      <c r="E151" s="16"/>
      <c r="F151" s="699">
        <v>0</v>
      </c>
      <c r="G151" s="16"/>
      <c r="H151" s="44">
        <f t="shared" si="7"/>
        <v>0</v>
      </c>
      <c r="I151" s="16"/>
      <c r="J151" s="16"/>
      <c r="K151" s="16"/>
      <c r="L151" s="52" t="e">
        <f t="shared" si="4"/>
        <v>#DIV/0!</v>
      </c>
      <c r="M151" s="16"/>
      <c r="N151" s="52" t="e">
        <f t="shared" si="5"/>
        <v>#DIV/0!</v>
      </c>
      <c r="O151" s="52" t="e">
        <f t="shared" si="6"/>
        <v>#DIV/0!</v>
      </c>
      <c r="P151" s="16">
        <f>VLOOKUP(A151,'Gastos Proyecciones'!$A$10:$T$198,LOOKUP(Ingresos!$O$190,'Gastos Proyecciones'!$C$10:$T$10,'Gastos Proyecciones'!$C$205:$T$205),FALSE)</f>
        <v>0</v>
      </c>
    </row>
    <row r="152" spans="1:16">
      <c r="A152" s="47" t="s">
        <v>1338</v>
      </c>
      <c r="B152" s="746" t="s">
        <v>1339</v>
      </c>
      <c r="C152" s="441" t="s">
        <v>1220</v>
      </c>
      <c r="D152" s="737">
        <f>VLOOKUP(A152,'Gastos Proyecciones'!$A$10:$T$198,LOOKUP($D$22,'Gastos Proyecciones'!$C$10:$T$10,'Gastos Proyecciones'!$C$205:$T$205),FALSE)</f>
        <v>0</v>
      </c>
      <c r="E152" s="16"/>
      <c r="F152" s="699">
        <v>0</v>
      </c>
      <c r="G152" s="16"/>
      <c r="H152" s="44">
        <f t="shared" si="7"/>
        <v>0</v>
      </c>
      <c r="I152" s="16"/>
      <c r="J152" s="16"/>
      <c r="K152" s="16"/>
      <c r="L152" s="52" t="e">
        <f t="shared" si="4"/>
        <v>#DIV/0!</v>
      </c>
      <c r="M152" s="16"/>
      <c r="N152" s="52" t="e">
        <f t="shared" si="5"/>
        <v>#DIV/0!</v>
      </c>
      <c r="O152" s="52" t="e">
        <f t="shared" si="6"/>
        <v>#DIV/0!</v>
      </c>
      <c r="P152" s="16">
        <f>VLOOKUP(A152,'Gastos Proyecciones'!$A$10:$T$198,LOOKUP(Ingresos!$O$190,'Gastos Proyecciones'!$C$10:$T$10,'Gastos Proyecciones'!$C$205:$T$205),FALSE)</f>
        <v>0</v>
      </c>
    </row>
    <row r="153" spans="1:16">
      <c r="A153" s="47" t="s">
        <v>1340</v>
      </c>
      <c r="B153" s="746" t="s">
        <v>1341</v>
      </c>
      <c r="C153" s="441" t="s">
        <v>1223</v>
      </c>
      <c r="D153" s="737">
        <f>VLOOKUP(A153,'Gastos Proyecciones'!$A$10:$T$198,LOOKUP($D$22,'Gastos Proyecciones'!$C$10:$T$10,'Gastos Proyecciones'!$C$205:$T$205),FALSE)</f>
        <v>0</v>
      </c>
      <c r="E153" s="16"/>
      <c r="F153" s="699">
        <v>0</v>
      </c>
      <c r="G153" s="16"/>
      <c r="H153" s="44">
        <f t="shared" si="7"/>
        <v>0</v>
      </c>
      <c r="I153" s="16"/>
      <c r="J153" s="16"/>
      <c r="K153" s="16"/>
      <c r="L153" s="52" t="e">
        <f t="shared" si="4"/>
        <v>#DIV/0!</v>
      </c>
      <c r="M153" s="16"/>
      <c r="N153" s="52" t="e">
        <f t="shared" si="5"/>
        <v>#DIV/0!</v>
      </c>
      <c r="O153" s="52" t="e">
        <f t="shared" si="6"/>
        <v>#DIV/0!</v>
      </c>
      <c r="P153" s="16">
        <f>VLOOKUP(A153,'Gastos Proyecciones'!$A$10:$T$198,LOOKUP(Ingresos!$O$190,'Gastos Proyecciones'!$C$10:$T$10,'Gastos Proyecciones'!$C$205:$T$205),FALSE)</f>
        <v>0</v>
      </c>
    </row>
    <row r="154" spans="1:16">
      <c r="A154" s="47" t="s">
        <v>1342</v>
      </c>
      <c r="B154" s="746" t="s">
        <v>1343</v>
      </c>
      <c r="C154" s="441" t="s">
        <v>1226</v>
      </c>
      <c r="D154" s="737">
        <f>VLOOKUP(A154,'Gastos Proyecciones'!$A$10:$T$198,LOOKUP($D$22,'Gastos Proyecciones'!$C$10:$T$10,'Gastos Proyecciones'!$C$205:$T$205),FALSE)</f>
        <v>0</v>
      </c>
      <c r="E154" s="16"/>
      <c r="F154" s="699">
        <v>0</v>
      </c>
      <c r="G154" s="16"/>
      <c r="H154" s="44">
        <f t="shared" si="7"/>
        <v>0</v>
      </c>
      <c r="I154" s="16"/>
      <c r="J154" s="16"/>
      <c r="K154" s="16"/>
      <c r="L154" s="52" t="e">
        <f t="shared" ref="L154:L224" si="8">+J154/G154</f>
        <v>#DIV/0!</v>
      </c>
      <c r="M154" s="16"/>
      <c r="N154" s="52" t="e">
        <f t="shared" ref="N154:N210" si="9">+(J154/M154)-1</f>
        <v>#DIV/0!</v>
      </c>
      <c r="O154" s="52" t="e">
        <f t="shared" ref="O154:O210" si="10">+J154/D154</f>
        <v>#DIV/0!</v>
      </c>
      <c r="P154" s="16">
        <f>VLOOKUP(A154,'Gastos Proyecciones'!$A$10:$T$198,LOOKUP(Ingresos!$O$190,'Gastos Proyecciones'!$C$10:$T$10,'Gastos Proyecciones'!$C$205:$T$205),FALSE)</f>
        <v>0</v>
      </c>
    </row>
    <row r="155" spans="1:16">
      <c r="A155" s="47" t="s">
        <v>1344</v>
      </c>
      <c r="B155" s="746" t="s">
        <v>1345</v>
      </c>
      <c r="C155" s="441" t="s">
        <v>1229</v>
      </c>
      <c r="D155" s="737">
        <f>VLOOKUP(A155,'Gastos Proyecciones'!$A$10:$T$198,LOOKUP($D$22,'Gastos Proyecciones'!$C$10:$T$10,'Gastos Proyecciones'!$C$205:$T$205),FALSE)</f>
        <v>0</v>
      </c>
      <c r="E155" s="16"/>
      <c r="F155" s="699">
        <v>0</v>
      </c>
      <c r="G155" s="16"/>
      <c r="H155" s="44">
        <f t="shared" ref="H155:H210" si="11">+G155-E155</f>
        <v>0</v>
      </c>
      <c r="I155" s="16"/>
      <c r="J155" s="16"/>
      <c r="K155" s="16"/>
      <c r="L155" s="52" t="e">
        <f t="shared" si="8"/>
        <v>#DIV/0!</v>
      </c>
      <c r="M155" s="16"/>
      <c r="N155" s="52" t="e">
        <f t="shared" si="9"/>
        <v>#DIV/0!</v>
      </c>
      <c r="O155" s="52" t="e">
        <f t="shared" si="10"/>
        <v>#DIV/0!</v>
      </c>
      <c r="P155" s="16">
        <f>VLOOKUP(A155,'Gastos Proyecciones'!$A$10:$T$198,LOOKUP(Ingresos!$O$190,'Gastos Proyecciones'!$C$10:$T$10,'Gastos Proyecciones'!$C$205:$T$205),FALSE)</f>
        <v>0</v>
      </c>
    </row>
    <row r="156" spans="1:16">
      <c r="A156" s="57" t="s">
        <v>1346</v>
      </c>
      <c r="B156" s="746" t="s">
        <v>1357</v>
      </c>
      <c r="C156" s="441" t="s">
        <v>1232</v>
      </c>
      <c r="D156" s="737">
        <f>VLOOKUP(A156,'Gastos Proyecciones'!$A$10:$T$198,LOOKUP($D$22,'Gastos Proyecciones'!$C$10:$T$10,'Gastos Proyecciones'!$C$205:$T$205),FALSE)</f>
        <v>0</v>
      </c>
      <c r="E156" s="16"/>
      <c r="F156" s="699">
        <v>0</v>
      </c>
      <c r="G156" s="16"/>
      <c r="H156" s="44">
        <f t="shared" si="11"/>
        <v>0</v>
      </c>
      <c r="I156" s="16"/>
      <c r="J156" s="16"/>
      <c r="K156" s="16"/>
      <c r="L156" s="52" t="e">
        <f t="shared" si="8"/>
        <v>#DIV/0!</v>
      </c>
      <c r="M156" s="16"/>
      <c r="N156" s="52" t="e">
        <f t="shared" si="9"/>
        <v>#DIV/0!</v>
      </c>
      <c r="O156" s="52" t="e">
        <f t="shared" si="10"/>
        <v>#DIV/0!</v>
      </c>
      <c r="P156" s="16">
        <f>VLOOKUP(A156,'Gastos Proyecciones'!$A$10:$T$198,LOOKUP(Ingresos!$O$190,'Gastos Proyecciones'!$C$10:$T$10,'Gastos Proyecciones'!$C$205:$T$205),FALSE)</f>
        <v>0</v>
      </c>
    </row>
    <row r="157" spans="1:16">
      <c r="A157" s="47" t="s">
        <v>1358</v>
      </c>
      <c r="B157" s="746" t="s">
        <v>1359</v>
      </c>
      <c r="C157" s="441" t="s">
        <v>1235</v>
      </c>
      <c r="D157" s="737">
        <f>VLOOKUP(A157,'Gastos Proyecciones'!$A$10:$T$198,LOOKUP($D$22,'Gastos Proyecciones'!$C$10:$T$10,'Gastos Proyecciones'!$C$205:$T$205),FALSE)</f>
        <v>0</v>
      </c>
      <c r="E157" s="16"/>
      <c r="F157" s="699">
        <v>0</v>
      </c>
      <c r="G157" s="16"/>
      <c r="H157" s="44">
        <f t="shared" si="11"/>
        <v>0</v>
      </c>
      <c r="I157" s="16"/>
      <c r="J157" s="16"/>
      <c r="K157" s="16"/>
      <c r="L157" s="52" t="e">
        <f t="shared" si="8"/>
        <v>#DIV/0!</v>
      </c>
      <c r="M157" s="16"/>
      <c r="N157" s="52" t="e">
        <f t="shared" si="9"/>
        <v>#DIV/0!</v>
      </c>
      <c r="O157" s="52" t="e">
        <f t="shared" si="10"/>
        <v>#DIV/0!</v>
      </c>
      <c r="P157" s="16">
        <f>VLOOKUP(A157,'Gastos Proyecciones'!$A$10:$T$198,LOOKUP(Ingresos!$O$190,'Gastos Proyecciones'!$C$10:$T$10,'Gastos Proyecciones'!$C$205:$T$205),FALSE)</f>
        <v>0</v>
      </c>
    </row>
    <row r="158" spans="1:16">
      <c r="A158" s="47" t="s">
        <v>1360</v>
      </c>
      <c r="B158" s="746" t="s">
        <v>1361</v>
      </c>
      <c r="C158" s="441" t="s">
        <v>1238</v>
      </c>
      <c r="D158" s="737">
        <f>VLOOKUP(A158,'Gastos Proyecciones'!$A$10:$T$198,LOOKUP($D$22,'Gastos Proyecciones'!$C$10:$T$10,'Gastos Proyecciones'!$C$205:$T$205),FALSE)</f>
        <v>0</v>
      </c>
      <c r="E158" s="16"/>
      <c r="F158" s="699">
        <v>0</v>
      </c>
      <c r="G158" s="16"/>
      <c r="H158" s="44">
        <f t="shared" si="11"/>
        <v>0</v>
      </c>
      <c r="I158" s="16"/>
      <c r="J158" s="16"/>
      <c r="K158" s="16"/>
      <c r="L158" s="52" t="e">
        <f t="shared" si="8"/>
        <v>#DIV/0!</v>
      </c>
      <c r="M158" s="16"/>
      <c r="N158" s="52" t="e">
        <f t="shared" si="9"/>
        <v>#DIV/0!</v>
      </c>
      <c r="O158" s="52" t="e">
        <f t="shared" si="10"/>
        <v>#DIV/0!</v>
      </c>
      <c r="P158" s="16">
        <f>VLOOKUP(A158,'Gastos Proyecciones'!$A$10:$T$198,LOOKUP(Ingresos!$O$190,'Gastos Proyecciones'!$C$10:$T$10,'Gastos Proyecciones'!$C$205:$T$205),FALSE)</f>
        <v>0</v>
      </c>
    </row>
    <row r="159" spans="1:16">
      <c r="A159" s="47" t="s">
        <v>1362</v>
      </c>
      <c r="B159" s="746" t="s">
        <v>1363</v>
      </c>
      <c r="C159" s="441" t="s">
        <v>1241</v>
      </c>
      <c r="D159" s="737">
        <f>VLOOKUP(A159,'Gastos Proyecciones'!$A$10:$T$198,LOOKUP($D$22,'Gastos Proyecciones'!$C$10:$T$10,'Gastos Proyecciones'!$C$205:$T$205),FALSE)</f>
        <v>0</v>
      </c>
      <c r="E159" s="16"/>
      <c r="F159" s="699">
        <v>0</v>
      </c>
      <c r="G159" s="16"/>
      <c r="H159" s="44">
        <f t="shared" si="11"/>
        <v>0</v>
      </c>
      <c r="I159" s="16"/>
      <c r="J159" s="16"/>
      <c r="K159" s="16"/>
      <c r="L159" s="52" t="e">
        <f t="shared" si="8"/>
        <v>#DIV/0!</v>
      </c>
      <c r="M159" s="16"/>
      <c r="N159" s="52" t="e">
        <f t="shared" si="9"/>
        <v>#DIV/0!</v>
      </c>
      <c r="O159" s="52" t="e">
        <f t="shared" si="10"/>
        <v>#DIV/0!</v>
      </c>
      <c r="P159" s="16">
        <f>VLOOKUP(A159,'Gastos Proyecciones'!$A$10:$T$198,LOOKUP(Ingresos!$O$190,'Gastos Proyecciones'!$C$10:$T$10,'Gastos Proyecciones'!$C$205:$T$205),FALSE)</f>
        <v>0</v>
      </c>
    </row>
    <row r="160" spans="1:16">
      <c r="A160" s="47" t="s">
        <v>1364</v>
      </c>
      <c r="B160" s="746" t="s">
        <v>1365</v>
      </c>
      <c r="C160" s="441" t="s">
        <v>1244</v>
      </c>
      <c r="D160" s="737">
        <f>VLOOKUP(A160,'Gastos Proyecciones'!$A$10:$T$198,LOOKUP($D$22,'Gastos Proyecciones'!$C$10:$T$10,'Gastos Proyecciones'!$C$205:$T$205),FALSE)</f>
        <v>0</v>
      </c>
      <c r="E160" s="16"/>
      <c r="F160" s="699">
        <v>0</v>
      </c>
      <c r="G160" s="16"/>
      <c r="H160" s="44">
        <f t="shared" si="11"/>
        <v>0</v>
      </c>
      <c r="I160" s="16"/>
      <c r="J160" s="16"/>
      <c r="K160" s="16"/>
      <c r="L160" s="52" t="e">
        <f t="shared" si="8"/>
        <v>#DIV/0!</v>
      </c>
      <c r="M160" s="16"/>
      <c r="N160" s="52" t="e">
        <f t="shared" si="9"/>
        <v>#DIV/0!</v>
      </c>
      <c r="O160" s="52" t="e">
        <f t="shared" si="10"/>
        <v>#DIV/0!</v>
      </c>
      <c r="P160" s="16">
        <f>VLOOKUP(A160,'Gastos Proyecciones'!$A$10:$T$198,LOOKUP(Ingresos!$O$190,'Gastos Proyecciones'!$C$10:$T$10,'Gastos Proyecciones'!$C$205:$T$205),FALSE)</f>
        <v>0</v>
      </c>
    </row>
    <row r="161" spans="1:16">
      <c r="A161" s="47" t="s">
        <v>1366</v>
      </c>
      <c r="B161" s="746" t="s">
        <v>1367</v>
      </c>
      <c r="C161" s="441" t="s">
        <v>1247</v>
      </c>
      <c r="D161" s="737">
        <f>VLOOKUP(A161,'Gastos Proyecciones'!$A$10:$T$198,LOOKUP($D$22,'Gastos Proyecciones'!$C$10:$T$10,'Gastos Proyecciones'!$C$205:$T$205),FALSE)</f>
        <v>0</v>
      </c>
      <c r="E161" s="16"/>
      <c r="F161" s="699">
        <v>0</v>
      </c>
      <c r="G161" s="16"/>
      <c r="H161" s="44">
        <f t="shared" si="11"/>
        <v>0</v>
      </c>
      <c r="I161" s="16"/>
      <c r="J161" s="16"/>
      <c r="K161" s="16"/>
      <c r="L161" s="52" t="e">
        <f t="shared" si="8"/>
        <v>#DIV/0!</v>
      </c>
      <c r="M161" s="16"/>
      <c r="N161" s="52" t="e">
        <f t="shared" si="9"/>
        <v>#DIV/0!</v>
      </c>
      <c r="O161" s="52" t="e">
        <f t="shared" si="10"/>
        <v>#DIV/0!</v>
      </c>
      <c r="P161" s="16">
        <f>VLOOKUP(A161,'Gastos Proyecciones'!$A$10:$T$198,LOOKUP(Ingresos!$O$190,'Gastos Proyecciones'!$C$10:$T$10,'Gastos Proyecciones'!$C$205:$T$205),FALSE)</f>
        <v>0</v>
      </c>
    </row>
    <row r="162" spans="1:16" s="43" customFormat="1">
      <c r="A162" s="47" t="s">
        <v>1368</v>
      </c>
      <c r="B162" s="746" t="s">
        <v>1369</v>
      </c>
      <c r="C162" s="441" t="s">
        <v>1289</v>
      </c>
      <c r="D162" s="737">
        <f>VLOOKUP(A162,'Gastos Proyecciones'!$A$10:$T$198,LOOKUP($D$22,'Gastos Proyecciones'!$C$10:$T$10,'Gastos Proyecciones'!$C$205:$T$205),FALSE)</f>
        <v>0</v>
      </c>
      <c r="E162" s="16"/>
      <c r="F162" s="699">
        <v>0</v>
      </c>
      <c r="G162" s="16"/>
      <c r="H162" s="44">
        <f t="shared" si="11"/>
        <v>0</v>
      </c>
      <c r="I162" s="16"/>
      <c r="J162" s="16"/>
      <c r="K162" s="16"/>
      <c r="L162" s="55" t="e">
        <f t="shared" si="8"/>
        <v>#DIV/0!</v>
      </c>
      <c r="M162" s="16"/>
      <c r="N162" s="55" t="e">
        <f t="shared" si="9"/>
        <v>#DIV/0!</v>
      </c>
      <c r="O162" s="55" t="e">
        <f t="shared" si="10"/>
        <v>#DIV/0!</v>
      </c>
      <c r="P162" s="16">
        <f>VLOOKUP(A162,'Gastos Proyecciones'!$A$10:$T$198,LOOKUP(Ingresos!$O$190,'Gastos Proyecciones'!$C$10:$T$10,'Gastos Proyecciones'!$C$205:$T$205),FALSE)</f>
        <v>0</v>
      </c>
    </row>
    <row r="163" spans="1:16">
      <c r="A163" s="47" t="s">
        <v>1370</v>
      </c>
      <c r="B163" s="747" t="s">
        <v>1371</v>
      </c>
      <c r="C163" s="441" t="s">
        <v>1324</v>
      </c>
      <c r="D163" s="737">
        <f>VLOOKUP(A163,'Gastos Proyecciones'!$A$10:$T$198,LOOKUP($D$22,'Gastos Proyecciones'!$C$10:$T$10,'Gastos Proyecciones'!$C$205:$T$205),FALSE)</f>
        <v>0</v>
      </c>
      <c r="E163" s="16"/>
      <c r="F163" s="699">
        <v>0</v>
      </c>
      <c r="G163" s="16"/>
      <c r="H163" s="44">
        <f t="shared" si="11"/>
        <v>0</v>
      </c>
      <c r="I163" s="16"/>
      <c r="J163" s="16"/>
      <c r="K163" s="16"/>
      <c r="L163" s="52" t="e">
        <f t="shared" si="8"/>
        <v>#DIV/0!</v>
      </c>
      <c r="M163" s="16"/>
      <c r="N163" s="52" t="e">
        <f t="shared" si="9"/>
        <v>#DIV/0!</v>
      </c>
      <c r="O163" s="52" t="e">
        <f t="shared" si="10"/>
        <v>#DIV/0!</v>
      </c>
      <c r="P163" s="16">
        <f>VLOOKUP(A163,'Gastos Proyecciones'!$A$10:$T$198,LOOKUP(Ingresos!$O$190,'Gastos Proyecciones'!$C$10:$T$10,'Gastos Proyecciones'!$C$205:$T$205),FALSE)</f>
        <v>0</v>
      </c>
    </row>
    <row r="164" spans="1:16" s="12" customFormat="1">
      <c r="A164" s="47" t="s">
        <v>1372</v>
      </c>
      <c r="B164" s="75"/>
      <c r="C164" s="440" t="s">
        <v>1373</v>
      </c>
      <c r="D164" s="32">
        <f>+D165+D179+D185</f>
        <v>178484.80000000002</v>
      </c>
      <c r="E164" s="32">
        <f>+E165+E179+E185</f>
        <v>0</v>
      </c>
      <c r="F164" s="32" t="e">
        <f>SUM(F165:F171)</f>
        <v>#REF!</v>
      </c>
      <c r="G164" s="32">
        <f>+G165+G179+G185</f>
        <v>0</v>
      </c>
      <c r="H164" s="32">
        <f t="shared" si="11"/>
        <v>0</v>
      </c>
      <c r="I164" s="32">
        <f>+I165+I179+I185</f>
        <v>0</v>
      </c>
      <c r="J164" s="32">
        <f>+J165+J179+J185</f>
        <v>0</v>
      </c>
      <c r="K164" s="32">
        <f>+K165+K179+K185</f>
        <v>0</v>
      </c>
      <c r="L164" s="50" t="e">
        <f t="shared" si="8"/>
        <v>#DIV/0!</v>
      </c>
      <c r="M164" s="32">
        <f>+M165+M179+M185</f>
        <v>0</v>
      </c>
      <c r="N164" s="50" t="e">
        <f t="shared" si="9"/>
        <v>#DIV/0!</v>
      </c>
      <c r="O164" s="50">
        <f t="shared" si="10"/>
        <v>0</v>
      </c>
      <c r="P164" s="32">
        <f>+P165+P179+P185</f>
        <v>178484.80000000002</v>
      </c>
    </row>
    <row r="165" spans="1:16" s="12" customFormat="1">
      <c r="A165" s="47" t="s">
        <v>1374</v>
      </c>
      <c r="B165" s="75"/>
      <c r="C165" s="440" t="s">
        <v>1211</v>
      </c>
      <c r="D165" s="32">
        <f>SUM(D166:D178)</f>
        <v>0</v>
      </c>
      <c r="E165" s="32">
        <f>SUM(E166:E178)</f>
        <v>0</v>
      </c>
      <c r="F165" s="736" t="e">
        <f>+E163+#REF!+#REF!-#REF!-#REF!</f>
        <v>#REF!</v>
      </c>
      <c r="G165" s="32">
        <f>SUM(G166:G178)</f>
        <v>0</v>
      </c>
      <c r="H165" s="32">
        <f t="shared" si="11"/>
        <v>0</v>
      </c>
      <c r="I165" s="32">
        <f>SUM(I166:I178)</f>
        <v>0</v>
      </c>
      <c r="J165" s="32">
        <f>SUM(J166:J178)</f>
        <v>0</v>
      </c>
      <c r="K165" s="32">
        <f>SUM(K166:K178)</f>
        <v>0</v>
      </c>
      <c r="L165" s="50" t="e">
        <f t="shared" si="8"/>
        <v>#DIV/0!</v>
      </c>
      <c r="M165" s="32">
        <f>SUM(M166:M178)</f>
        <v>0</v>
      </c>
      <c r="N165" s="50" t="e">
        <f t="shared" si="9"/>
        <v>#DIV/0!</v>
      </c>
      <c r="O165" s="50" t="e">
        <f t="shared" si="10"/>
        <v>#DIV/0!</v>
      </c>
      <c r="P165" s="32">
        <f>SUM(P166:P178)</f>
        <v>0</v>
      </c>
    </row>
    <row r="166" spans="1:16">
      <c r="A166" s="47" t="s">
        <v>1375</v>
      </c>
      <c r="B166" s="748" t="s">
        <v>1376</v>
      </c>
      <c r="C166" s="441" t="s">
        <v>1214</v>
      </c>
      <c r="D166" s="737">
        <f>VLOOKUP(A166,'Gastos Proyecciones'!$A$10:$T$198,LOOKUP($D$22,'Gastos Proyecciones'!$C$10:$T$10,'Gastos Proyecciones'!$C$205:$T$205),FALSE)</f>
        <v>0</v>
      </c>
      <c r="E166" s="16"/>
      <c r="F166" s="699">
        <v>0</v>
      </c>
      <c r="G166" s="16"/>
      <c r="H166" s="44">
        <f t="shared" si="11"/>
        <v>0</v>
      </c>
      <c r="I166" s="16"/>
      <c r="J166" s="16"/>
      <c r="K166" s="16"/>
      <c r="L166" s="52" t="e">
        <f t="shared" si="8"/>
        <v>#DIV/0!</v>
      </c>
      <c r="M166" s="16"/>
      <c r="N166" s="52" t="e">
        <f t="shared" si="9"/>
        <v>#DIV/0!</v>
      </c>
      <c r="O166" s="52" t="e">
        <f t="shared" si="10"/>
        <v>#DIV/0!</v>
      </c>
      <c r="P166" s="16">
        <f>VLOOKUP(A166,'Gastos Proyecciones'!$A$10:$T$198,LOOKUP(Ingresos!$O$190,'Gastos Proyecciones'!$C$10:$T$10,'Gastos Proyecciones'!$C$205:$T$205),FALSE)</f>
        <v>0</v>
      </c>
    </row>
    <row r="167" spans="1:16">
      <c r="A167" s="47" t="s">
        <v>1377</v>
      </c>
      <c r="B167" s="748" t="s">
        <v>1378</v>
      </c>
      <c r="C167" s="441" t="s">
        <v>1217</v>
      </c>
      <c r="D167" s="737">
        <f>VLOOKUP(A167,'Gastos Proyecciones'!$A$10:$T$198,LOOKUP($D$22,'Gastos Proyecciones'!$C$10:$T$10,'Gastos Proyecciones'!$C$205:$T$205),FALSE)</f>
        <v>0</v>
      </c>
      <c r="E167" s="16"/>
      <c r="F167" s="699">
        <v>0</v>
      </c>
      <c r="G167" s="16"/>
      <c r="H167" s="44">
        <f t="shared" si="11"/>
        <v>0</v>
      </c>
      <c r="I167" s="16"/>
      <c r="J167" s="16"/>
      <c r="K167" s="16"/>
      <c r="L167" s="52" t="e">
        <f t="shared" si="8"/>
        <v>#DIV/0!</v>
      </c>
      <c r="M167" s="16"/>
      <c r="N167" s="52" t="e">
        <f t="shared" si="9"/>
        <v>#DIV/0!</v>
      </c>
      <c r="O167" s="52" t="e">
        <f t="shared" si="10"/>
        <v>#DIV/0!</v>
      </c>
      <c r="P167" s="16">
        <f>VLOOKUP(A167,'Gastos Proyecciones'!$A$10:$T$198,LOOKUP(Ingresos!$O$190,'Gastos Proyecciones'!$C$10:$T$10,'Gastos Proyecciones'!$C$205:$T$205),FALSE)</f>
        <v>0</v>
      </c>
    </row>
    <row r="168" spans="1:16">
      <c r="A168" s="47" t="s">
        <v>1379</v>
      </c>
      <c r="B168" s="748" t="s">
        <v>1380</v>
      </c>
      <c r="C168" s="441" t="s">
        <v>1220</v>
      </c>
      <c r="D168" s="737">
        <f>VLOOKUP(A168,'Gastos Proyecciones'!$A$10:$T$198,LOOKUP($D$22,'Gastos Proyecciones'!$C$10:$T$10,'Gastos Proyecciones'!$C$205:$T$205),FALSE)</f>
        <v>0</v>
      </c>
      <c r="E168" s="16"/>
      <c r="F168" s="699">
        <v>0</v>
      </c>
      <c r="G168" s="16"/>
      <c r="H168" s="44">
        <f t="shared" si="11"/>
        <v>0</v>
      </c>
      <c r="I168" s="16"/>
      <c r="J168" s="16"/>
      <c r="K168" s="16"/>
      <c r="L168" s="52" t="e">
        <f t="shared" si="8"/>
        <v>#DIV/0!</v>
      </c>
      <c r="M168" s="16"/>
      <c r="N168" s="52" t="e">
        <f t="shared" si="9"/>
        <v>#DIV/0!</v>
      </c>
      <c r="O168" s="52" t="e">
        <f t="shared" si="10"/>
        <v>#DIV/0!</v>
      </c>
      <c r="P168" s="16">
        <f>VLOOKUP(A168,'Gastos Proyecciones'!$A$10:$T$198,LOOKUP(Ingresos!$O$190,'Gastos Proyecciones'!$C$10:$T$10,'Gastos Proyecciones'!$C$205:$T$205),FALSE)</f>
        <v>0</v>
      </c>
    </row>
    <row r="169" spans="1:16">
      <c r="A169" s="47" t="s">
        <v>1381</v>
      </c>
      <c r="B169" s="748" t="s">
        <v>1382</v>
      </c>
      <c r="C169" s="441" t="s">
        <v>1223</v>
      </c>
      <c r="D169" s="737">
        <f>VLOOKUP(A169,'Gastos Proyecciones'!$A$10:$T$198,LOOKUP($D$22,'Gastos Proyecciones'!$C$10:$T$10,'Gastos Proyecciones'!$C$205:$T$205),FALSE)</f>
        <v>0</v>
      </c>
      <c r="E169" s="16"/>
      <c r="F169" s="699">
        <v>0</v>
      </c>
      <c r="G169" s="16"/>
      <c r="H169" s="44">
        <f t="shared" si="11"/>
        <v>0</v>
      </c>
      <c r="I169" s="16"/>
      <c r="J169" s="16"/>
      <c r="K169" s="16"/>
      <c r="L169" s="52" t="e">
        <f t="shared" si="8"/>
        <v>#DIV/0!</v>
      </c>
      <c r="M169" s="16"/>
      <c r="N169" s="52" t="e">
        <f t="shared" si="9"/>
        <v>#DIV/0!</v>
      </c>
      <c r="O169" s="52" t="e">
        <f t="shared" si="10"/>
        <v>#DIV/0!</v>
      </c>
      <c r="P169" s="16">
        <f>VLOOKUP(A169,'Gastos Proyecciones'!$A$10:$T$198,LOOKUP(Ingresos!$O$190,'Gastos Proyecciones'!$C$10:$T$10,'Gastos Proyecciones'!$C$205:$T$205),FALSE)</f>
        <v>0</v>
      </c>
    </row>
    <row r="170" spans="1:16" s="43" customFormat="1">
      <c r="A170" s="57" t="s">
        <v>1383</v>
      </c>
      <c r="B170" s="748" t="s">
        <v>1384</v>
      </c>
      <c r="C170" s="441" t="s">
        <v>1226</v>
      </c>
      <c r="D170" s="737">
        <f>VLOOKUP(A170,'Gastos Proyecciones'!$A$10:$T$198,LOOKUP($D$22,'Gastos Proyecciones'!$C$10:$T$10,'Gastos Proyecciones'!$C$205:$T$205),FALSE)</f>
        <v>0</v>
      </c>
      <c r="E170" s="16"/>
      <c r="F170" s="699">
        <v>0</v>
      </c>
      <c r="G170" s="16"/>
      <c r="H170" s="44">
        <f t="shared" si="11"/>
        <v>0</v>
      </c>
      <c r="I170" s="16"/>
      <c r="J170" s="16"/>
      <c r="K170" s="16"/>
      <c r="L170" s="55" t="e">
        <f t="shared" si="8"/>
        <v>#DIV/0!</v>
      </c>
      <c r="M170" s="16"/>
      <c r="N170" s="55" t="e">
        <f t="shared" si="9"/>
        <v>#DIV/0!</v>
      </c>
      <c r="O170" s="55" t="e">
        <f t="shared" si="10"/>
        <v>#DIV/0!</v>
      </c>
      <c r="P170" s="16">
        <f>VLOOKUP(A170,'Gastos Proyecciones'!$A$10:$T$198,LOOKUP(Ingresos!$O$190,'Gastos Proyecciones'!$C$10:$T$10,'Gastos Proyecciones'!$C$205:$T$205),FALSE)</f>
        <v>0</v>
      </c>
    </row>
    <row r="171" spans="1:16">
      <c r="A171" s="47" t="s">
        <v>1385</v>
      </c>
      <c r="B171" s="748" t="s">
        <v>1386</v>
      </c>
      <c r="C171" s="441" t="s">
        <v>1229</v>
      </c>
      <c r="D171" s="737">
        <f>VLOOKUP(A171,'Gastos Proyecciones'!$A$10:$T$198,LOOKUP($D$22,'Gastos Proyecciones'!$C$10:$T$10,'Gastos Proyecciones'!$C$205:$T$205),FALSE)</f>
        <v>0</v>
      </c>
      <c r="E171" s="16"/>
      <c r="F171" s="699">
        <v>0</v>
      </c>
      <c r="G171" s="16"/>
      <c r="H171" s="44">
        <f t="shared" si="11"/>
        <v>0</v>
      </c>
      <c r="I171" s="16"/>
      <c r="J171" s="16"/>
      <c r="K171" s="16"/>
      <c r="L171" s="52" t="e">
        <f t="shared" si="8"/>
        <v>#DIV/0!</v>
      </c>
      <c r="M171" s="16"/>
      <c r="N171" s="52" t="e">
        <f t="shared" si="9"/>
        <v>#DIV/0!</v>
      </c>
      <c r="O171" s="52" t="e">
        <f t="shared" si="10"/>
        <v>#DIV/0!</v>
      </c>
      <c r="P171" s="16">
        <f>VLOOKUP(A171,'Gastos Proyecciones'!$A$10:$T$198,LOOKUP(Ingresos!$O$190,'Gastos Proyecciones'!$C$10:$T$10,'Gastos Proyecciones'!$C$205:$T$205),FALSE)</f>
        <v>0</v>
      </c>
    </row>
    <row r="172" spans="1:16" s="43" customFormat="1">
      <c r="A172" s="47" t="s">
        <v>1387</v>
      </c>
      <c r="B172" s="748" t="s">
        <v>1388</v>
      </c>
      <c r="C172" s="441" t="s">
        <v>1232</v>
      </c>
      <c r="D172" s="737">
        <f>VLOOKUP(A172,'Gastos Proyecciones'!$A$10:$T$198,LOOKUP($D$22,'Gastos Proyecciones'!$C$10:$T$10,'Gastos Proyecciones'!$C$205:$T$205),FALSE)</f>
        <v>0</v>
      </c>
      <c r="E172" s="16"/>
      <c r="F172" s="699">
        <v>0</v>
      </c>
      <c r="G172" s="16"/>
      <c r="H172" s="44">
        <f t="shared" si="11"/>
        <v>0</v>
      </c>
      <c r="I172" s="16"/>
      <c r="J172" s="16"/>
      <c r="K172" s="16"/>
      <c r="L172" s="55" t="e">
        <f t="shared" si="8"/>
        <v>#DIV/0!</v>
      </c>
      <c r="M172" s="16"/>
      <c r="N172" s="55" t="e">
        <f t="shared" si="9"/>
        <v>#DIV/0!</v>
      </c>
      <c r="O172" s="55" t="e">
        <f t="shared" si="10"/>
        <v>#DIV/0!</v>
      </c>
      <c r="P172" s="16">
        <f>VLOOKUP(A172,'Gastos Proyecciones'!$A$10:$T$198,LOOKUP(Ingresos!$O$190,'Gastos Proyecciones'!$C$10:$T$10,'Gastos Proyecciones'!$C$205:$T$205),FALSE)</f>
        <v>0</v>
      </c>
    </row>
    <row r="173" spans="1:16">
      <c r="A173" s="47" t="s">
        <v>1389</v>
      </c>
      <c r="B173" s="748" t="s">
        <v>1390</v>
      </c>
      <c r="C173" s="441" t="s">
        <v>1235</v>
      </c>
      <c r="D173" s="737">
        <f>VLOOKUP(A173,'Gastos Proyecciones'!$A$10:$T$198,LOOKUP($D$22,'Gastos Proyecciones'!$C$10:$T$10,'Gastos Proyecciones'!$C$205:$T$205),FALSE)</f>
        <v>0</v>
      </c>
      <c r="E173" s="16"/>
      <c r="F173" s="699">
        <v>0</v>
      </c>
      <c r="G173" s="16"/>
      <c r="H173" s="44">
        <f t="shared" si="11"/>
        <v>0</v>
      </c>
      <c r="I173" s="16"/>
      <c r="J173" s="16"/>
      <c r="K173" s="16"/>
      <c r="L173" s="52" t="e">
        <f t="shared" si="8"/>
        <v>#DIV/0!</v>
      </c>
      <c r="M173" s="16"/>
      <c r="N173" s="52" t="e">
        <f t="shared" si="9"/>
        <v>#DIV/0!</v>
      </c>
      <c r="O173" s="52" t="e">
        <f t="shared" si="10"/>
        <v>#DIV/0!</v>
      </c>
      <c r="P173" s="16">
        <f>VLOOKUP(A173,'Gastos Proyecciones'!$A$10:$T$198,LOOKUP(Ingresos!$O$190,'Gastos Proyecciones'!$C$10:$T$10,'Gastos Proyecciones'!$C$205:$T$205),FALSE)</f>
        <v>0</v>
      </c>
    </row>
    <row r="174" spans="1:16">
      <c r="A174" s="47" t="s">
        <v>1391</v>
      </c>
      <c r="B174" s="748" t="s">
        <v>1392</v>
      </c>
      <c r="C174" s="441" t="s">
        <v>1238</v>
      </c>
      <c r="D174" s="737">
        <f>VLOOKUP(A174,'Gastos Proyecciones'!$A$10:$T$198,LOOKUP($D$22,'Gastos Proyecciones'!$C$10:$T$10,'Gastos Proyecciones'!$C$205:$T$205),FALSE)</f>
        <v>0</v>
      </c>
      <c r="E174" s="16"/>
      <c r="F174" s="699">
        <v>0</v>
      </c>
      <c r="G174" s="16"/>
      <c r="H174" s="44">
        <f t="shared" si="11"/>
        <v>0</v>
      </c>
      <c r="I174" s="16"/>
      <c r="J174" s="16"/>
      <c r="K174" s="16"/>
      <c r="L174" s="52" t="e">
        <f t="shared" si="8"/>
        <v>#DIV/0!</v>
      </c>
      <c r="M174" s="16"/>
      <c r="N174" s="52" t="e">
        <f t="shared" si="9"/>
        <v>#DIV/0!</v>
      </c>
      <c r="O174" s="52" t="e">
        <f t="shared" si="10"/>
        <v>#DIV/0!</v>
      </c>
      <c r="P174" s="16">
        <f>VLOOKUP(A174,'Gastos Proyecciones'!$A$10:$T$198,LOOKUP(Ingresos!$O$190,'Gastos Proyecciones'!$C$10:$T$10,'Gastos Proyecciones'!$C$205:$T$205),FALSE)</f>
        <v>0</v>
      </c>
    </row>
    <row r="175" spans="1:16">
      <c r="A175" s="47" t="s">
        <v>1393</v>
      </c>
      <c r="B175" s="748" t="s">
        <v>1394</v>
      </c>
      <c r="C175" s="441" t="s">
        <v>1241</v>
      </c>
      <c r="D175" s="737">
        <f>VLOOKUP(A175,'Gastos Proyecciones'!$A$10:$T$198,LOOKUP($D$22,'Gastos Proyecciones'!$C$10:$T$10,'Gastos Proyecciones'!$C$205:$T$205),FALSE)</f>
        <v>0</v>
      </c>
      <c r="E175" s="16"/>
      <c r="F175" s="699">
        <v>0</v>
      </c>
      <c r="G175" s="16"/>
      <c r="H175" s="44">
        <f t="shared" si="11"/>
        <v>0</v>
      </c>
      <c r="I175" s="16"/>
      <c r="J175" s="16"/>
      <c r="K175" s="16"/>
      <c r="L175" s="52" t="e">
        <f t="shared" si="8"/>
        <v>#DIV/0!</v>
      </c>
      <c r="M175" s="16"/>
      <c r="N175" s="52" t="e">
        <f t="shared" si="9"/>
        <v>#DIV/0!</v>
      </c>
      <c r="O175" s="52" t="e">
        <f t="shared" si="10"/>
        <v>#DIV/0!</v>
      </c>
      <c r="P175" s="16">
        <f>VLOOKUP(A175,'Gastos Proyecciones'!$A$10:$T$198,LOOKUP(Ingresos!$O$190,'Gastos Proyecciones'!$C$10:$T$10,'Gastos Proyecciones'!$C$205:$T$205),FALSE)</f>
        <v>0</v>
      </c>
    </row>
    <row r="176" spans="1:16">
      <c r="A176" s="47" t="s">
        <v>1395</v>
      </c>
      <c r="B176" s="748" t="s">
        <v>1396</v>
      </c>
      <c r="C176" s="441" t="s">
        <v>1244</v>
      </c>
      <c r="D176" s="737">
        <f>VLOOKUP(A176,'Gastos Proyecciones'!$A$10:$T$198,LOOKUP($D$22,'Gastos Proyecciones'!$C$10:$T$10,'Gastos Proyecciones'!$C$205:$T$205),FALSE)</f>
        <v>0</v>
      </c>
      <c r="E176" s="16"/>
      <c r="F176" s="699">
        <v>0</v>
      </c>
      <c r="G176" s="16"/>
      <c r="H176" s="44">
        <f t="shared" si="11"/>
        <v>0</v>
      </c>
      <c r="I176" s="16"/>
      <c r="J176" s="16"/>
      <c r="K176" s="16"/>
      <c r="L176" s="52" t="e">
        <f t="shared" si="8"/>
        <v>#DIV/0!</v>
      </c>
      <c r="M176" s="16"/>
      <c r="N176" s="52" t="e">
        <f t="shared" si="9"/>
        <v>#DIV/0!</v>
      </c>
      <c r="O176" s="52" t="e">
        <f t="shared" si="10"/>
        <v>#DIV/0!</v>
      </c>
      <c r="P176" s="16">
        <f>VLOOKUP(A176,'Gastos Proyecciones'!$A$10:$T$198,LOOKUP(Ingresos!$O$190,'Gastos Proyecciones'!$C$10:$T$10,'Gastos Proyecciones'!$C$205:$T$205),FALSE)</f>
        <v>0</v>
      </c>
    </row>
    <row r="177" spans="1:16">
      <c r="A177" s="47" t="s">
        <v>1397</v>
      </c>
      <c r="B177" s="748" t="s">
        <v>1398</v>
      </c>
      <c r="C177" s="441" t="s">
        <v>1247</v>
      </c>
      <c r="D177" s="737">
        <f>VLOOKUP(A177,'Gastos Proyecciones'!$A$10:$T$198,LOOKUP($D$22,'Gastos Proyecciones'!$C$10:$T$10,'Gastos Proyecciones'!$C$205:$T$205),FALSE)</f>
        <v>0</v>
      </c>
      <c r="E177" s="16"/>
      <c r="F177" s="699">
        <v>0</v>
      </c>
      <c r="G177" s="16"/>
      <c r="H177" s="44">
        <f t="shared" si="11"/>
        <v>0</v>
      </c>
      <c r="I177" s="16"/>
      <c r="J177" s="16"/>
      <c r="K177" s="16"/>
      <c r="L177" s="52" t="e">
        <f t="shared" si="8"/>
        <v>#DIV/0!</v>
      </c>
      <c r="M177" s="16"/>
      <c r="N177" s="52" t="e">
        <f t="shared" si="9"/>
        <v>#DIV/0!</v>
      </c>
      <c r="O177" s="52" t="e">
        <f t="shared" si="10"/>
        <v>#DIV/0!</v>
      </c>
      <c r="P177" s="16">
        <f>VLOOKUP(A177,'Gastos Proyecciones'!$A$10:$T$198,LOOKUP(Ingresos!$O$190,'Gastos Proyecciones'!$C$10:$T$10,'Gastos Proyecciones'!$C$205:$T$205),FALSE)</f>
        <v>0</v>
      </c>
    </row>
    <row r="178" spans="1:16">
      <c r="A178" s="47" t="s">
        <v>1399</v>
      </c>
      <c r="B178" s="749" t="s">
        <v>1400</v>
      </c>
      <c r="C178" s="441" t="s">
        <v>918</v>
      </c>
      <c r="D178" s="737">
        <f>VLOOKUP(A178,'Gastos Proyecciones'!$A$10:$T$198,LOOKUP($D$22,'Gastos Proyecciones'!$C$10:$T$10,'Gastos Proyecciones'!$C$205:$T$205),FALSE)</f>
        <v>0</v>
      </c>
      <c r="E178" s="16"/>
      <c r="F178" s="699">
        <v>0</v>
      </c>
      <c r="G178" s="16"/>
      <c r="H178" s="44">
        <f t="shared" si="11"/>
        <v>0</v>
      </c>
      <c r="I178" s="16"/>
      <c r="J178" s="16"/>
      <c r="K178" s="16"/>
      <c r="L178" s="52" t="e">
        <f t="shared" si="8"/>
        <v>#DIV/0!</v>
      </c>
      <c r="M178" s="16"/>
      <c r="N178" s="52" t="e">
        <f t="shared" si="9"/>
        <v>#DIV/0!</v>
      </c>
      <c r="O178" s="52" t="e">
        <f t="shared" si="10"/>
        <v>#DIV/0!</v>
      </c>
      <c r="P178" s="16">
        <f>VLOOKUP(A178,'Gastos Proyecciones'!$A$10:$T$198,LOOKUP(Ingresos!$O$190,'Gastos Proyecciones'!$C$10:$T$10,'Gastos Proyecciones'!$C$205:$T$205),FALSE)</f>
        <v>0</v>
      </c>
    </row>
    <row r="179" spans="1:16" s="12" customFormat="1">
      <c r="A179" s="47" t="s">
        <v>1401</v>
      </c>
      <c r="B179" s="75"/>
      <c r="C179" s="440" t="s">
        <v>1252</v>
      </c>
      <c r="D179" s="32">
        <f>SUM(D180:D184)</f>
        <v>0</v>
      </c>
      <c r="E179" s="32">
        <f>SUM(E180:E184)</f>
        <v>0</v>
      </c>
      <c r="F179" s="736" t="e">
        <f>+E177+#REF!+#REF!-#REF!-#REF!</f>
        <v>#REF!</v>
      </c>
      <c r="G179" s="32">
        <f>SUM(G180:G184)</f>
        <v>0</v>
      </c>
      <c r="H179" s="32">
        <f t="shared" si="11"/>
        <v>0</v>
      </c>
      <c r="I179" s="32">
        <f>SUM(I180:I184)</f>
        <v>0</v>
      </c>
      <c r="J179" s="32">
        <f>SUM(J180:J184)</f>
        <v>0</v>
      </c>
      <c r="K179" s="32">
        <f>SUM(K180:K184)</f>
        <v>0</v>
      </c>
      <c r="L179" s="50" t="e">
        <f t="shared" si="8"/>
        <v>#DIV/0!</v>
      </c>
      <c r="M179" s="32">
        <f>SUM(M180:M184)</f>
        <v>0</v>
      </c>
      <c r="N179" s="50" t="e">
        <f t="shared" si="9"/>
        <v>#DIV/0!</v>
      </c>
      <c r="O179" s="50" t="e">
        <f t="shared" si="10"/>
        <v>#DIV/0!</v>
      </c>
      <c r="P179" s="32">
        <f>SUM(P180:P184)</f>
        <v>0</v>
      </c>
    </row>
    <row r="180" spans="1:16">
      <c r="A180" s="47" t="s">
        <v>1402</v>
      </c>
      <c r="B180" s="750" t="s">
        <v>1403</v>
      </c>
      <c r="C180" s="441" t="s">
        <v>1214</v>
      </c>
      <c r="D180" s="737">
        <f>VLOOKUP(A180,'Gastos Proyecciones'!$A$10:$T$198,LOOKUP($D$22,'Gastos Proyecciones'!$C$10:$T$10,'Gastos Proyecciones'!$C$205:$T$205),FALSE)</f>
        <v>0</v>
      </c>
      <c r="E180" s="16"/>
      <c r="F180" s="699">
        <v>0</v>
      </c>
      <c r="G180" s="16"/>
      <c r="H180" s="44">
        <f t="shared" si="11"/>
        <v>0</v>
      </c>
      <c r="I180" s="16"/>
      <c r="J180" s="16"/>
      <c r="K180" s="16"/>
      <c r="L180" s="52" t="e">
        <f t="shared" si="8"/>
        <v>#DIV/0!</v>
      </c>
      <c r="M180" s="16"/>
      <c r="N180" s="52" t="e">
        <f t="shared" si="9"/>
        <v>#DIV/0!</v>
      </c>
      <c r="O180" s="52" t="e">
        <f t="shared" si="10"/>
        <v>#DIV/0!</v>
      </c>
      <c r="P180" s="16">
        <f>VLOOKUP(A180,'Gastos Proyecciones'!$A$10:$T$198,LOOKUP(Ingresos!$O$190,'Gastos Proyecciones'!$C$10:$T$10,'Gastos Proyecciones'!$C$205:$T$205),FALSE)</f>
        <v>0</v>
      </c>
    </row>
    <row r="181" spans="1:16">
      <c r="A181" s="47" t="s">
        <v>1404</v>
      </c>
      <c r="B181" s="750" t="s">
        <v>1405</v>
      </c>
      <c r="C181" s="441" t="s">
        <v>1220</v>
      </c>
      <c r="D181" s="737">
        <f>VLOOKUP(A181,'Gastos Proyecciones'!$A$10:$T$198,LOOKUP($D$22,'Gastos Proyecciones'!$C$10:$T$10,'Gastos Proyecciones'!$C$205:$T$205),FALSE)</f>
        <v>0</v>
      </c>
      <c r="E181" s="16"/>
      <c r="F181" s="699">
        <v>0</v>
      </c>
      <c r="G181" s="16"/>
      <c r="H181" s="44">
        <f t="shared" si="11"/>
        <v>0</v>
      </c>
      <c r="I181" s="16"/>
      <c r="J181" s="16"/>
      <c r="K181" s="16"/>
      <c r="L181" s="52" t="e">
        <f t="shared" si="8"/>
        <v>#DIV/0!</v>
      </c>
      <c r="M181" s="16"/>
      <c r="N181" s="52" t="e">
        <f t="shared" si="9"/>
        <v>#DIV/0!</v>
      </c>
      <c r="O181" s="52" t="e">
        <f t="shared" si="10"/>
        <v>#DIV/0!</v>
      </c>
      <c r="P181" s="16">
        <f>VLOOKUP(A181,'Gastos Proyecciones'!$A$10:$T$198,LOOKUP(Ingresos!$O$190,'Gastos Proyecciones'!$C$10:$T$10,'Gastos Proyecciones'!$C$205:$T$205),FALSE)</f>
        <v>0</v>
      </c>
    </row>
    <row r="182" spans="1:16">
      <c r="A182" s="47" t="s">
        <v>1406</v>
      </c>
      <c r="B182" s="750" t="s">
        <v>1407</v>
      </c>
      <c r="C182" s="441" t="s">
        <v>1223</v>
      </c>
      <c r="D182" s="737">
        <f>VLOOKUP(A182,'Gastos Proyecciones'!$A$10:$T$198,LOOKUP($D$22,'Gastos Proyecciones'!$C$10:$T$10,'Gastos Proyecciones'!$C$205:$T$205),FALSE)</f>
        <v>0</v>
      </c>
      <c r="E182" s="16"/>
      <c r="F182" s="699">
        <v>0</v>
      </c>
      <c r="G182" s="16"/>
      <c r="H182" s="44">
        <f t="shared" si="11"/>
        <v>0</v>
      </c>
      <c r="I182" s="16"/>
      <c r="J182" s="16"/>
      <c r="K182" s="16"/>
      <c r="L182" s="52" t="e">
        <f t="shared" si="8"/>
        <v>#DIV/0!</v>
      </c>
      <c r="M182" s="16"/>
      <c r="N182" s="52" t="e">
        <f t="shared" si="9"/>
        <v>#DIV/0!</v>
      </c>
      <c r="O182" s="52" t="e">
        <f t="shared" si="10"/>
        <v>#DIV/0!</v>
      </c>
      <c r="P182" s="16">
        <f>VLOOKUP(A182,'Gastos Proyecciones'!$A$10:$T$198,LOOKUP(Ingresos!$O$190,'Gastos Proyecciones'!$C$10:$T$10,'Gastos Proyecciones'!$C$205:$T$205),FALSE)</f>
        <v>0</v>
      </c>
    </row>
    <row r="183" spans="1:16">
      <c r="A183" s="47" t="s">
        <v>1408</v>
      </c>
      <c r="B183" s="750" t="s">
        <v>1409</v>
      </c>
      <c r="C183" s="441" t="s">
        <v>1229</v>
      </c>
      <c r="D183" s="737">
        <f>VLOOKUP(A183,'Gastos Proyecciones'!$A$10:$T$198,LOOKUP($D$22,'Gastos Proyecciones'!$C$10:$T$10,'Gastos Proyecciones'!$C$205:$T$205),FALSE)</f>
        <v>0</v>
      </c>
      <c r="E183" s="16"/>
      <c r="F183" s="699">
        <v>0</v>
      </c>
      <c r="G183" s="16"/>
      <c r="H183" s="44">
        <f t="shared" si="11"/>
        <v>0</v>
      </c>
      <c r="I183" s="16"/>
      <c r="J183" s="16"/>
      <c r="K183" s="16"/>
      <c r="L183" s="52" t="e">
        <f t="shared" si="8"/>
        <v>#DIV/0!</v>
      </c>
      <c r="M183" s="16"/>
      <c r="N183" s="52" t="e">
        <f t="shared" si="9"/>
        <v>#DIV/0!</v>
      </c>
      <c r="O183" s="52" t="e">
        <f t="shared" si="10"/>
        <v>#DIV/0!</v>
      </c>
      <c r="P183" s="16">
        <f>VLOOKUP(A183,'Gastos Proyecciones'!$A$10:$T$198,LOOKUP(Ingresos!$O$190,'Gastos Proyecciones'!$C$10:$T$10,'Gastos Proyecciones'!$C$205:$T$205),FALSE)</f>
        <v>0</v>
      </c>
    </row>
    <row r="184" spans="1:16">
      <c r="A184" s="47" t="s">
        <v>1410</v>
      </c>
      <c r="B184" s="750" t="s">
        <v>1411</v>
      </c>
      <c r="C184" s="441" t="s">
        <v>1238</v>
      </c>
      <c r="D184" s="737">
        <f>VLOOKUP(A184,'Gastos Proyecciones'!$A$10:$T$198,LOOKUP($D$22,'Gastos Proyecciones'!$C$10:$T$10,'Gastos Proyecciones'!$C$205:$T$205),FALSE)</f>
        <v>0</v>
      </c>
      <c r="E184" s="16"/>
      <c r="F184" s="699">
        <v>0</v>
      </c>
      <c r="G184" s="16"/>
      <c r="H184" s="44">
        <f t="shared" si="11"/>
        <v>0</v>
      </c>
      <c r="I184" s="16"/>
      <c r="J184" s="16"/>
      <c r="K184" s="16"/>
      <c r="L184" s="52" t="e">
        <f t="shared" si="8"/>
        <v>#DIV/0!</v>
      </c>
      <c r="M184" s="16"/>
      <c r="N184" s="52" t="e">
        <f t="shared" si="9"/>
        <v>#DIV/0!</v>
      </c>
      <c r="O184" s="52" t="e">
        <f t="shared" si="10"/>
        <v>#DIV/0!</v>
      </c>
      <c r="P184" s="16">
        <f>VLOOKUP(A184,'Gastos Proyecciones'!$A$10:$T$198,LOOKUP(Ingresos!$O$190,'Gastos Proyecciones'!$C$10:$T$10,'Gastos Proyecciones'!$C$205:$T$205),FALSE)</f>
        <v>0</v>
      </c>
    </row>
    <row r="185" spans="1:16" s="12" customFormat="1">
      <c r="A185" s="47" t="s">
        <v>1412</v>
      </c>
      <c r="B185" s="75"/>
      <c r="C185" s="440" t="s">
        <v>1262</v>
      </c>
      <c r="D185" s="32">
        <f>SUM(D186:D199)</f>
        <v>178484.80000000002</v>
      </c>
      <c r="E185" s="32">
        <f>SUM(E186:E199)</f>
        <v>0</v>
      </c>
      <c r="F185" s="736" t="e">
        <f>+E183+#REF!+#REF!-#REF!-#REF!</f>
        <v>#REF!</v>
      </c>
      <c r="G185" s="32">
        <f>SUM(G186:G199)</f>
        <v>0</v>
      </c>
      <c r="H185" s="32">
        <f t="shared" si="11"/>
        <v>0</v>
      </c>
      <c r="I185" s="32">
        <f>SUM(I186:I199)</f>
        <v>0</v>
      </c>
      <c r="J185" s="32">
        <f>SUM(J186:J199)</f>
        <v>0</v>
      </c>
      <c r="K185" s="32">
        <f>SUM(K186:K199)</f>
        <v>0</v>
      </c>
      <c r="L185" s="50" t="e">
        <f t="shared" si="8"/>
        <v>#DIV/0!</v>
      </c>
      <c r="M185" s="32">
        <f>SUM(M186:M199)</f>
        <v>0</v>
      </c>
      <c r="N185" s="50" t="e">
        <f t="shared" si="9"/>
        <v>#DIV/0!</v>
      </c>
      <c r="O185" s="50">
        <f t="shared" si="10"/>
        <v>0</v>
      </c>
      <c r="P185" s="32">
        <f>SUM(P186:P199)</f>
        <v>178484.80000000002</v>
      </c>
    </row>
    <row r="186" spans="1:16">
      <c r="A186" s="47" t="s">
        <v>1413</v>
      </c>
      <c r="B186" s="751" t="s">
        <v>1414</v>
      </c>
      <c r="C186" s="441" t="s">
        <v>1214</v>
      </c>
      <c r="D186" s="737">
        <f>VLOOKUP(A186,'Gastos Proyecciones'!$A$10:$T$198,LOOKUP($D$22,'Gastos Proyecciones'!$C$10:$T$10,'Gastos Proyecciones'!$C$205:$T$205),FALSE)</f>
        <v>0</v>
      </c>
      <c r="E186" s="16"/>
      <c r="F186" s="699">
        <v>0</v>
      </c>
      <c r="G186" s="16"/>
      <c r="H186" s="44">
        <f t="shared" si="11"/>
        <v>0</v>
      </c>
      <c r="I186" s="16"/>
      <c r="J186" s="16"/>
      <c r="K186" s="16"/>
      <c r="L186" s="52" t="e">
        <f t="shared" si="8"/>
        <v>#DIV/0!</v>
      </c>
      <c r="M186" s="16"/>
      <c r="N186" s="52" t="e">
        <f t="shared" si="9"/>
        <v>#DIV/0!</v>
      </c>
      <c r="O186" s="52" t="e">
        <f t="shared" si="10"/>
        <v>#DIV/0!</v>
      </c>
      <c r="P186" s="16">
        <f>VLOOKUP(A186,'Gastos Proyecciones'!$A$10:$T$198,LOOKUP(Ingresos!$O$190,'Gastos Proyecciones'!$C$10:$T$10,'Gastos Proyecciones'!$C$205:$T$205),FALSE)</f>
        <v>0</v>
      </c>
    </row>
    <row r="187" spans="1:16" s="43" customFormat="1">
      <c r="A187" s="57" t="s">
        <v>1415</v>
      </c>
      <c r="B187" s="751" t="s">
        <v>1416</v>
      </c>
      <c r="C187" s="441" t="s">
        <v>1217</v>
      </c>
      <c r="D187" s="737">
        <f>VLOOKUP(A187,'Gastos Proyecciones'!$A$10:$T$198,LOOKUP($D$22,'Gastos Proyecciones'!$C$10:$T$10,'Gastos Proyecciones'!$C$205:$T$205),FALSE)</f>
        <v>74844.639999999999</v>
      </c>
      <c r="E187" s="16"/>
      <c r="F187" s="699">
        <v>0</v>
      </c>
      <c r="G187" s="16"/>
      <c r="H187" s="44">
        <f t="shared" si="11"/>
        <v>0</v>
      </c>
      <c r="I187" s="16"/>
      <c r="J187" s="16"/>
      <c r="K187" s="16"/>
      <c r="L187" s="55" t="e">
        <f t="shared" si="8"/>
        <v>#DIV/0!</v>
      </c>
      <c r="M187" s="16"/>
      <c r="N187" s="55" t="e">
        <f t="shared" si="9"/>
        <v>#DIV/0!</v>
      </c>
      <c r="O187" s="55">
        <f t="shared" si="10"/>
        <v>0</v>
      </c>
      <c r="P187" s="16">
        <f>VLOOKUP(A187,'Gastos Proyecciones'!$A$10:$T$198,LOOKUP(Ingresos!$O$190,'Gastos Proyecciones'!$C$10:$T$10,'Gastos Proyecciones'!$C$205:$T$205),FALSE)</f>
        <v>74844.639999999999</v>
      </c>
    </row>
    <row r="188" spans="1:16">
      <c r="A188" s="57" t="s">
        <v>1417</v>
      </c>
      <c r="B188" s="751" t="s">
        <v>1418</v>
      </c>
      <c r="C188" s="441" t="s">
        <v>1220</v>
      </c>
      <c r="D188" s="737">
        <f>VLOOKUP(A188,'Gastos Proyecciones'!$A$10:$T$198,LOOKUP($D$22,'Gastos Proyecciones'!$C$10:$T$10,'Gastos Proyecciones'!$C$205:$T$205),FALSE)</f>
        <v>0</v>
      </c>
      <c r="E188" s="16"/>
      <c r="F188" s="699">
        <v>0</v>
      </c>
      <c r="G188" s="16"/>
      <c r="H188" s="44">
        <f t="shared" si="11"/>
        <v>0</v>
      </c>
      <c r="I188" s="16"/>
      <c r="J188" s="16"/>
      <c r="K188" s="16"/>
      <c r="L188" s="50" t="e">
        <f t="shared" si="8"/>
        <v>#DIV/0!</v>
      </c>
      <c r="M188" s="16"/>
      <c r="N188" s="50" t="e">
        <f t="shared" si="9"/>
        <v>#DIV/0!</v>
      </c>
      <c r="O188" s="50" t="e">
        <f t="shared" si="10"/>
        <v>#DIV/0!</v>
      </c>
      <c r="P188" s="16">
        <f>VLOOKUP(A188,'Gastos Proyecciones'!$A$10:$T$198,LOOKUP(Ingresos!$O$190,'Gastos Proyecciones'!$C$10:$T$10,'Gastos Proyecciones'!$C$205:$T$205),FALSE)</f>
        <v>0</v>
      </c>
    </row>
    <row r="189" spans="1:16">
      <c r="A189" s="47" t="s">
        <v>1419</v>
      </c>
      <c r="B189" s="751" t="s">
        <v>1420</v>
      </c>
      <c r="C189" s="441" t="s">
        <v>1223</v>
      </c>
      <c r="D189" s="737">
        <f>VLOOKUP(A189,'Gastos Proyecciones'!$A$10:$T$198,LOOKUP($D$22,'Gastos Proyecciones'!$C$10:$T$10,'Gastos Proyecciones'!$C$205:$T$205),FALSE)</f>
        <v>6760</v>
      </c>
      <c r="E189" s="16"/>
      <c r="F189" s="699">
        <v>0</v>
      </c>
      <c r="G189" s="16"/>
      <c r="H189" s="44">
        <f t="shared" si="11"/>
        <v>0</v>
      </c>
      <c r="I189" s="16"/>
      <c r="J189" s="16"/>
      <c r="K189" s="16"/>
      <c r="L189" s="52" t="e">
        <f t="shared" si="8"/>
        <v>#DIV/0!</v>
      </c>
      <c r="M189" s="16"/>
      <c r="N189" s="52" t="e">
        <f t="shared" si="9"/>
        <v>#DIV/0!</v>
      </c>
      <c r="O189" s="52">
        <f t="shared" si="10"/>
        <v>0</v>
      </c>
      <c r="P189" s="16">
        <f>VLOOKUP(A189,'Gastos Proyecciones'!$A$10:$T$198,LOOKUP(Ingresos!$O$190,'Gastos Proyecciones'!$C$10:$T$10,'Gastos Proyecciones'!$C$205:$T$205),FALSE)</f>
        <v>6760</v>
      </c>
    </row>
    <row r="190" spans="1:16">
      <c r="A190" s="47" t="s">
        <v>1421</v>
      </c>
      <c r="B190" s="751" t="s">
        <v>1422</v>
      </c>
      <c r="C190" s="441" t="s">
        <v>1226</v>
      </c>
      <c r="D190" s="737">
        <f>VLOOKUP(A190,'Gastos Proyecciones'!$A$10:$T$198,LOOKUP($D$22,'Gastos Proyecciones'!$C$10:$T$10,'Gastos Proyecciones'!$C$205:$T$205),FALSE)</f>
        <v>15069.6</v>
      </c>
      <c r="E190" s="16"/>
      <c r="F190" s="699">
        <v>0</v>
      </c>
      <c r="G190" s="16"/>
      <c r="H190" s="44">
        <f t="shared" si="11"/>
        <v>0</v>
      </c>
      <c r="I190" s="16"/>
      <c r="J190" s="16"/>
      <c r="K190" s="16"/>
      <c r="L190" s="52" t="e">
        <f t="shared" si="8"/>
        <v>#DIV/0!</v>
      </c>
      <c r="M190" s="16"/>
      <c r="N190" s="52" t="e">
        <f t="shared" si="9"/>
        <v>#DIV/0!</v>
      </c>
      <c r="O190" s="52">
        <f t="shared" si="10"/>
        <v>0</v>
      </c>
      <c r="P190" s="16">
        <f>VLOOKUP(A190,'Gastos Proyecciones'!$A$10:$T$198,LOOKUP(Ingresos!$O$190,'Gastos Proyecciones'!$C$10:$T$10,'Gastos Proyecciones'!$C$205:$T$205),FALSE)</f>
        <v>15069.6</v>
      </c>
    </row>
    <row r="191" spans="1:16">
      <c r="A191" s="47" t="s">
        <v>1423</v>
      </c>
      <c r="B191" s="751" t="s">
        <v>1424</v>
      </c>
      <c r="C191" s="441" t="s">
        <v>1229</v>
      </c>
      <c r="D191" s="737">
        <f>VLOOKUP(A191,'Gastos Proyecciones'!$A$10:$T$198,LOOKUP($D$22,'Gastos Proyecciones'!$C$10:$T$10,'Gastos Proyecciones'!$C$205:$T$205),FALSE)</f>
        <v>0</v>
      </c>
      <c r="E191" s="16"/>
      <c r="F191" s="699">
        <v>0</v>
      </c>
      <c r="G191" s="16"/>
      <c r="H191" s="44">
        <f t="shared" si="11"/>
        <v>0</v>
      </c>
      <c r="I191" s="16"/>
      <c r="J191" s="16"/>
      <c r="K191" s="16"/>
      <c r="L191" s="52" t="e">
        <f t="shared" si="8"/>
        <v>#DIV/0!</v>
      </c>
      <c r="M191" s="16"/>
      <c r="N191" s="52" t="e">
        <f t="shared" si="9"/>
        <v>#DIV/0!</v>
      </c>
      <c r="O191" s="52" t="e">
        <f t="shared" si="10"/>
        <v>#DIV/0!</v>
      </c>
      <c r="P191" s="16">
        <f>VLOOKUP(A191,'Gastos Proyecciones'!$A$10:$T$198,LOOKUP(Ingresos!$O$190,'Gastos Proyecciones'!$C$10:$T$10,'Gastos Proyecciones'!$C$205:$T$205),FALSE)</f>
        <v>0</v>
      </c>
    </row>
    <row r="192" spans="1:16">
      <c r="A192" s="47" t="s">
        <v>1425</v>
      </c>
      <c r="B192" s="751" t="s">
        <v>1426</v>
      </c>
      <c r="C192" s="441" t="s">
        <v>1232</v>
      </c>
      <c r="D192" s="737">
        <f>VLOOKUP(A192,'Gastos Proyecciones'!$A$10:$T$198,LOOKUP($D$22,'Gastos Proyecciones'!$C$10:$T$10,'Gastos Proyecciones'!$C$205:$T$205),FALSE)</f>
        <v>50201.840000000004</v>
      </c>
      <c r="E192" s="16"/>
      <c r="F192" s="699">
        <v>0</v>
      </c>
      <c r="G192" s="16"/>
      <c r="H192" s="44">
        <f t="shared" si="11"/>
        <v>0</v>
      </c>
      <c r="I192" s="16"/>
      <c r="J192" s="16"/>
      <c r="K192" s="16"/>
      <c r="L192" s="52" t="e">
        <f t="shared" si="8"/>
        <v>#DIV/0!</v>
      </c>
      <c r="M192" s="16"/>
      <c r="N192" s="52" t="e">
        <f t="shared" si="9"/>
        <v>#DIV/0!</v>
      </c>
      <c r="O192" s="52">
        <f t="shared" si="10"/>
        <v>0</v>
      </c>
      <c r="P192" s="16">
        <f>VLOOKUP(A192,'Gastos Proyecciones'!$A$10:$T$198,LOOKUP(Ingresos!$O$190,'Gastos Proyecciones'!$C$10:$T$10,'Gastos Proyecciones'!$C$205:$T$205),FALSE)</f>
        <v>50201.840000000004</v>
      </c>
    </row>
    <row r="193" spans="1:16">
      <c r="A193" s="47" t="s">
        <v>1427</v>
      </c>
      <c r="B193" s="751" t="s">
        <v>1428</v>
      </c>
      <c r="C193" s="441" t="s">
        <v>1235</v>
      </c>
      <c r="D193" s="737">
        <f>VLOOKUP(A193,'Gastos Proyecciones'!$A$10:$T$198,LOOKUP($D$22,'Gastos Proyecciones'!$C$10:$T$10,'Gastos Proyecciones'!$C$205:$T$205),FALSE)</f>
        <v>20246.72</v>
      </c>
      <c r="E193" s="16"/>
      <c r="F193" s="699">
        <v>0</v>
      </c>
      <c r="G193" s="16"/>
      <c r="H193" s="44">
        <f t="shared" si="11"/>
        <v>0</v>
      </c>
      <c r="I193" s="16"/>
      <c r="J193" s="16"/>
      <c r="K193" s="16"/>
      <c r="L193" s="52" t="e">
        <f t="shared" si="8"/>
        <v>#DIV/0!</v>
      </c>
      <c r="M193" s="16"/>
      <c r="N193" s="52" t="e">
        <f t="shared" si="9"/>
        <v>#DIV/0!</v>
      </c>
      <c r="O193" s="52">
        <f t="shared" si="10"/>
        <v>0</v>
      </c>
      <c r="P193" s="16">
        <f>VLOOKUP(A193,'Gastos Proyecciones'!$A$10:$T$198,LOOKUP(Ingresos!$O$190,'Gastos Proyecciones'!$C$10:$T$10,'Gastos Proyecciones'!$C$205:$T$205),FALSE)</f>
        <v>20246.72</v>
      </c>
    </row>
    <row r="194" spans="1:16">
      <c r="A194" s="47" t="s">
        <v>1429</v>
      </c>
      <c r="B194" s="751" t="s">
        <v>1430</v>
      </c>
      <c r="C194" s="441" t="s">
        <v>1238</v>
      </c>
      <c r="D194" s="737">
        <f>VLOOKUP(A194,'Gastos Proyecciones'!$A$10:$T$198,LOOKUP($D$22,'Gastos Proyecciones'!$C$10:$T$10,'Gastos Proyecciones'!$C$205:$T$205),FALSE)</f>
        <v>0</v>
      </c>
      <c r="E194" s="16"/>
      <c r="F194" s="699">
        <v>0</v>
      </c>
      <c r="G194" s="16"/>
      <c r="H194" s="44">
        <f t="shared" si="11"/>
        <v>0</v>
      </c>
      <c r="I194" s="16"/>
      <c r="J194" s="16"/>
      <c r="K194" s="16"/>
      <c r="L194" s="52" t="e">
        <f t="shared" si="8"/>
        <v>#DIV/0!</v>
      </c>
      <c r="M194" s="16"/>
      <c r="N194" s="52" t="e">
        <f t="shared" si="9"/>
        <v>#DIV/0!</v>
      </c>
      <c r="O194" s="52" t="e">
        <f t="shared" si="10"/>
        <v>#DIV/0!</v>
      </c>
      <c r="P194" s="16">
        <f>VLOOKUP(A194,'Gastos Proyecciones'!$A$10:$T$198,LOOKUP(Ingresos!$O$190,'Gastos Proyecciones'!$C$10:$T$10,'Gastos Proyecciones'!$C$205:$T$205),FALSE)</f>
        <v>0</v>
      </c>
    </row>
    <row r="195" spans="1:16">
      <c r="A195" s="47" t="s">
        <v>1431</v>
      </c>
      <c r="B195" s="751" t="s">
        <v>1432</v>
      </c>
      <c r="C195" s="441" t="s">
        <v>1241</v>
      </c>
      <c r="D195" s="737">
        <f>VLOOKUP(A195,'Gastos Proyecciones'!$A$10:$T$198,LOOKUP($D$22,'Gastos Proyecciones'!$C$10:$T$10,'Gastos Proyecciones'!$C$205:$T$205),FALSE)</f>
        <v>0</v>
      </c>
      <c r="E195" s="16"/>
      <c r="F195" s="699">
        <v>0</v>
      </c>
      <c r="G195" s="16"/>
      <c r="H195" s="44">
        <f t="shared" si="11"/>
        <v>0</v>
      </c>
      <c r="I195" s="16"/>
      <c r="J195" s="16"/>
      <c r="K195" s="16"/>
      <c r="L195" s="52" t="e">
        <f t="shared" si="8"/>
        <v>#DIV/0!</v>
      </c>
      <c r="M195" s="16"/>
      <c r="N195" s="52" t="e">
        <f t="shared" si="9"/>
        <v>#DIV/0!</v>
      </c>
      <c r="O195" s="52" t="e">
        <f t="shared" si="10"/>
        <v>#DIV/0!</v>
      </c>
      <c r="P195" s="16">
        <f>VLOOKUP(A195,'Gastos Proyecciones'!$A$10:$T$198,LOOKUP(Ingresos!$O$190,'Gastos Proyecciones'!$C$10:$T$10,'Gastos Proyecciones'!$C$205:$T$205),FALSE)</f>
        <v>0</v>
      </c>
    </row>
    <row r="196" spans="1:16">
      <c r="A196" s="47" t="s">
        <v>1433</v>
      </c>
      <c r="B196" s="751" t="s">
        <v>1434</v>
      </c>
      <c r="C196" s="441" t="s">
        <v>1244</v>
      </c>
      <c r="D196" s="737">
        <f>VLOOKUP(A196,'Gastos Proyecciones'!$A$10:$T$198,LOOKUP($D$22,'Gastos Proyecciones'!$C$10:$T$10,'Gastos Proyecciones'!$C$205:$T$205),FALSE)</f>
        <v>0</v>
      </c>
      <c r="E196" s="16"/>
      <c r="F196" s="699">
        <v>0</v>
      </c>
      <c r="G196" s="16"/>
      <c r="H196" s="44">
        <f t="shared" si="11"/>
        <v>0</v>
      </c>
      <c r="I196" s="16"/>
      <c r="J196" s="16"/>
      <c r="K196" s="16"/>
      <c r="L196" s="52" t="e">
        <f t="shared" si="8"/>
        <v>#DIV/0!</v>
      </c>
      <c r="M196" s="16"/>
      <c r="N196" s="52" t="e">
        <f t="shared" si="9"/>
        <v>#DIV/0!</v>
      </c>
      <c r="O196" s="52" t="e">
        <f t="shared" si="10"/>
        <v>#DIV/0!</v>
      </c>
      <c r="P196" s="16">
        <f>VLOOKUP(A196,'Gastos Proyecciones'!$A$10:$T$198,LOOKUP(Ingresos!$O$190,'Gastos Proyecciones'!$C$10:$T$10,'Gastos Proyecciones'!$C$205:$T$205),FALSE)</f>
        <v>0</v>
      </c>
    </row>
    <row r="197" spans="1:16">
      <c r="A197" s="47" t="s">
        <v>1435</v>
      </c>
      <c r="B197" s="751" t="s">
        <v>1436</v>
      </c>
      <c r="C197" s="441" t="s">
        <v>1247</v>
      </c>
      <c r="D197" s="737">
        <f>VLOOKUP(A197,'Gastos Proyecciones'!$A$10:$T$198,LOOKUP($D$22,'Gastos Proyecciones'!$C$10:$T$10,'Gastos Proyecciones'!$C$205:$T$205),FALSE)</f>
        <v>0</v>
      </c>
      <c r="E197" s="16"/>
      <c r="F197" s="699">
        <v>0</v>
      </c>
      <c r="G197" s="16"/>
      <c r="H197" s="44">
        <f t="shared" si="11"/>
        <v>0</v>
      </c>
      <c r="I197" s="16"/>
      <c r="J197" s="16"/>
      <c r="K197" s="16"/>
      <c r="L197" s="52" t="e">
        <f t="shared" si="8"/>
        <v>#DIV/0!</v>
      </c>
      <c r="M197" s="16"/>
      <c r="N197" s="52" t="e">
        <f t="shared" si="9"/>
        <v>#DIV/0!</v>
      </c>
      <c r="O197" s="52" t="e">
        <f t="shared" si="10"/>
        <v>#DIV/0!</v>
      </c>
      <c r="P197" s="16">
        <f>VLOOKUP(A197,'Gastos Proyecciones'!$A$10:$T$198,LOOKUP(Ingresos!$O$190,'Gastos Proyecciones'!$C$10:$T$10,'Gastos Proyecciones'!$C$205:$T$205),FALSE)</f>
        <v>0</v>
      </c>
    </row>
    <row r="198" spans="1:16">
      <c r="A198" s="47" t="s">
        <v>1437</v>
      </c>
      <c r="B198" s="751" t="s">
        <v>1438</v>
      </c>
      <c r="C198" s="441" t="s">
        <v>1289</v>
      </c>
      <c r="D198" s="737">
        <f>VLOOKUP(A198,'Gastos Proyecciones'!$A$10:$T$198,LOOKUP($D$22,'Gastos Proyecciones'!$C$10:$T$10,'Gastos Proyecciones'!$C$205:$T$205),FALSE)</f>
        <v>0</v>
      </c>
      <c r="E198" s="16"/>
      <c r="F198" s="699">
        <v>0</v>
      </c>
      <c r="G198" s="16"/>
      <c r="H198" s="44">
        <f t="shared" si="11"/>
        <v>0</v>
      </c>
      <c r="I198" s="16"/>
      <c r="J198" s="16"/>
      <c r="K198" s="16"/>
      <c r="L198" s="52" t="e">
        <f t="shared" si="8"/>
        <v>#DIV/0!</v>
      </c>
      <c r="M198" s="16"/>
      <c r="N198" s="52" t="e">
        <f t="shared" si="9"/>
        <v>#DIV/0!</v>
      </c>
      <c r="O198" s="52" t="e">
        <f t="shared" si="10"/>
        <v>#DIV/0!</v>
      </c>
      <c r="P198" s="16">
        <f>VLOOKUP(A198,'Gastos Proyecciones'!$A$10:$T$198,LOOKUP(Ingresos!$O$190,'Gastos Proyecciones'!$C$10:$T$10,'Gastos Proyecciones'!$C$205:$T$205),FALSE)</f>
        <v>0</v>
      </c>
    </row>
    <row r="199" spans="1:16">
      <c r="A199" s="47" t="s">
        <v>1439</v>
      </c>
      <c r="B199" s="752" t="s">
        <v>0</v>
      </c>
      <c r="C199" s="441" t="s">
        <v>918</v>
      </c>
      <c r="D199" s="737">
        <f>VLOOKUP(A199,'Gastos Proyecciones'!$A$10:$T$198,LOOKUP($D$22,'Gastos Proyecciones'!$C$10:$T$10,'Gastos Proyecciones'!$C$205:$T$205),FALSE)</f>
        <v>11362</v>
      </c>
      <c r="E199" s="16"/>
      <c r="F199" s="699">
        <v>0</v>
      </c>
      <c r="G199" s="16"/>
      <c r="H199" s="44">
        <f t="shared" si="11"/>
        <v>0</v>
      </c>
      <c r="I199" s="16"/>
      <c r="J199" s="16"/>
      <c r="K199" s="16"/>
      <c r="L199" s="52" t="e">
        <f t="shared" si="8"/>
        <v>#DIV/0!</v>
      </c>
      <c r="M199" s="16"/>
      <c r="N199" s="52" t="e">
        <f t="shared" si="9"/>
        <v>#DIV/0!</v>
      </c>
      <c r="O199" s="52">
        <f t="shared" si="10"/>
        <v>0</v>
      </c>
      <c r="P199" s="16">
        <f>VLOOKUP(A199,'Gastos Proyecciones'!$A$10:$T$198,LOOKUP(Ingresos!$O$190,'Gastos Proyecciones'!$C$10:$T$10,'Gastos Proyecciones'!$C$205:$T$205),FALSE)</f>
        <v>11362</v>
      </c>
    </row>
    <row r="200" spans="1:16" s="12" customFormat="1">
      <c r="A200" s="47" t="s">
        <v>1</v>
      </c>
      <c r="B200" s="753"/>
      <c r="C200" s="440" t="s">
        <v>2</v>
      </c>
      <c r="D200" s="737">
        <f>VLOOKUP(A200,'Gastos Proyecciones'!$A$10:$T$198,LOOKUP($D$22,'Gastos Proyecciones'!$C$10:$T$10,'Gastos Proyecciones'!$C$205:$T$205),FALSE)</f>
        <v>0</v>
      </c>
      <c r="E200" s="919"/>
      <c r="F200" s="16">
        <v>0</v>
      </c>
      <c r="G200" s="919"/>
      <c r="H200" s="44">
        <f t="shared" si="11"/>
        <v>0</v>
      </c>
      <c r="I200" s="919"/>
      <c r="J200" s="44">
        <f>+'Pasivo a Cancelar y Deuda'!F38+'Pasivo a Cancelar y Deuda'!G38</f>
        <v>0</v>
      </c>
      <c r="K200" s="44">
        <f>+'Pasivo a Cancelar y Deuda'!H38+'Pasivo a Cancelar y Deuda'!I38</f>
        <v>0</v>
      </c>
      <c r="L200" s="50" t="e">
        <f t="shared" si="8"/>
        <v>#DIV/0!</v>
      </c>
      <c r="M200" s="919"/>
      <c r="N200" s="50" t="e">
        <f t="shared" si="9"/>
        <v>#DIV/0!</v>
      </c>
      <c r="O200" s="50" t="e">
        <f t="shared" si="10"/>
        <v>#DIV/0!</v>
      </c>
      <c r="P200" s="919">
        <f>VLOOKUP(A200,'Gastos Proyecciones'!$A$10:$T$198,LOOKUP(Ingresos!$O$190,'Gastos Proyecciones'!$C$10:$T$10,'Gastos Proyecciones'!$C$205:$T$205),FALSE)</f>
        <v>0</v>
      </c>
    </row>
    <row r="201" spans="1:16" s="12" customFormat="1">
      <c r="A201" s="47" t="s">
        <v>3</v>
      </c>
      <c r="B201" s="735" t="s">
        <v>4</v>
      </c>
      <c r="C201" s="440" t="s">
        <v>5</v>
      </c>
      <c r="D201" s="32" t="e">
        <f>+D202+D207</f>
        <v>#N/A</v>
      </c>
      <c r="E201" s="32">
        <f>+E202+E207</f>
        <v>0</v>
      </c>
      <c r="F201" s="736" t="e">
        <f>+#REF!+#REF!+#REF!-#REF!-#REF!</f>
        <v>#REF!</v>
      </c>
      <c r="G201" s="32">
        <f>+G202+G207</f>
        <v>0</v>
      </c>
      <c r="H201" s="32">
        <f t="shared" si="11"/>
        <v>0</v>
      </c>
      <c r="I201" s="32">
        <f>+I202+I207</f>
        <v>0</v>
      </c>
      <c r="J201" s="32">
        <f>+J202+J207</f>
        <v>0</v>
      </c>
      <c r="K201" s="32">
        <f>+K202+K207</f>
        <v>0</v>
      </c>
      <c r="L201" s="50" t="e">
        <f t="shared" si="8"/>
        <v>#DIV/0!</v>
      </c>
      <c r="M201" s="32">
        <f>+M202+M207</f>
        <v>0</v>
      </c>
      <c r="N201" s="50" t="e">
        <f t="shared" si="9"/>
        <v>#DIV/0!</v>
      </c>
      <c r="O201" s="50" t="e">
        <f t="shared" si="10"/>
        <v>#N/A</v>
      </c>
      <c r="P201" s="32" t="e">
        <f>+P202+P207</f>
        <v>#N/A</v>
      </c>
    </row>
    <row r="202" spans="1:16" s="12" customFormat="1">
      <c r="A202" s="363" t="s">
        <v>6</v>
      </c>
      <c r="B202" s="735" t="s">
        <v>7</v>
      </c>
      <c r="C202" s="440" t="s">
        <v>8</v>
      </c>
      <c r="D202" s="32" t="e">
        <f>+D203+D204+D205+D206</f>
        <v>#N/A</v>
      </c>
      <c r="E202" s="32">
        <f>+E203+E204+E205+E206</f>
        <v>0</v>
      </c>
      <c r="F202" s="736" t="e">
        <f>+E200+#REF!+#REF!-#REF!-#REF!</f>
        <v>#REF!</v>
      </c>
      <c r="G202" s="32">
        <f>+G203+G204+G205+G206</f>
        <v>0</v>
      </c>
      <c r="H202" s="32">
        <f t="shared" si="11"/>
        <v>0</v>
      </c>
      <c r="I202" s="32">
        <f>+I203+I204+I205+I206</f>
        <v>0</v>
      </c>
      <c r="J202" s="32">
        <f>+J203+J204+J205+J206</f>
        <v>0</v>
      </c>
      <c r="K202" s="32">
        <f>+K203+K204+K205+K206</f>
        <v>0</v>
      </c>
      <c r="L202" s="50" t="e">
        <f t="shared" si="8"/>
        <v>#DIV/0!</v>
      </c>
      <c r="M202" s="32">
        <f>+M203+M204+M205+M206</f>
        <v>0</v>
      </c>
      <c r="N202" s="50" t="e">
        <f t="shared" si="9"/>
        <v>#DIV/0!</v>
      </c>
      <c r="O202" s="50" t="e">
        <f t="shared" si="10"/>
        <v>#N/A</v>
      </c>
      <c r="P202" s="32" t="e">
        <f>+P203+P204+P205+P206</f>
        <v>#N/A</v>
      </c>
    </row>
    <row r="203" spans="1:16">
      <c r="A203" s="363" t="s">
        <v>9</v>
      </c>
      <c r="B203" s="735" t="s">
        <v>10</v>
      </c>
      <c r="C203" s="441" t="s">
        <v>11</v>
      </c>
      <c r="D203" s="737">
        <f>VLOOKUP(A203,'Gastos Proyecciones'!$A$10:$T$198,LOOKUP($D$22,'Gastos Proyecciones'!$C$10:$T$10,'Gastos Proyecciones'!$C$205:$T$205),FALSE)</f>
        <v>117328</v>
      </c>
      <c r="E203" s="16"/>
      <c r="F203" s="699">
        <v>0</v>
      </c>
      <c r="G203" s="16"/>
      <c r="H203" s="44">
        <f t="shared" si="11"/>
        <v>0</v>
      </c>
      <c r="I203" s="16"/>
      <c r="J203" s="16"/>
      <c r="K203" s="16"/>
      <c r="L203" s="52" t="e">
        <f t="shared" si="8"/>
        <v>#DIV/0!</v>
      </c>
      <c r="M203" s="16"/>
      <c r="N203" s="52" t="e">
        <f t="shared" si="9"/>
        <v>#DIV/0!</v>
      </c>
      <c r="O203" s="52">
        <f t="shared" si="10"/>
        <v>0</v>
      </c>
      <c r="P203" s="16">
        <f>VLOOKUP(A203,'Gastos Proyecciones'!$A$10:$T$198,LOOKUP(Ingresos!$O$190,'Gastos Proyecciones'!$C$10:$T$10,'Gastos Proyecciones'!$C$205:$T$205),FALSE)</f>
        <v>117328</v>
      </c>
    </row>
    <row r="204" spans="1:16">
      <c r="A204" s="363" t="s">
        <v>12</v>
      </c>
      <c r="B204" s="735" t="s">
        <v>13</v>
      </c>
      <c r="C204" s="441" t="s">
        <v>14</v>
      </c>
      <c r="D204" s="737">
        <f>VLOOKUP(A204,'Gastos Proyecciones'!$A$10:$T$198,LOOKUP($D$22,'Gastos Proyecciones'!$C$10:$T$10,'Gastos Proyecciones'!$C$205:$T$205),FALSE)</f>
        <v>49000</v>
      </c>
      <c r="E204" s="16"/>
      <c r="F204" s="699">
        <v>0</v>
      </c>
      <c r="G204" s="16"/>
      <c r="H204" s="44">
        <f t="shared" si="11"/>
        <v>0</v>
      </c>
      <c r="I204" s="16"/>
      <c r="J204" s="16"/>
      <c r="K204" s="16"/>
      <c r="L204" s="52" t="e">
        <f t="shared" si="8"/>
        <v>#DIV/0!</v>
      </c>
      <c r="M204" s="16"/>
      <c r="N204" s="52" t="e">
        <f t="shared" si="9"/>
        <v>#DIV/0!</v>
      </c>
      <c r="O204" s="52">
        <f t="shared" si="10"/>
        <v>0</v>
      </c>
      <c r="P204" s="16">
        <f>VLOOKUP(A204,'Gastos Proyecciones'!$A$10:$T$198,LOOKUP(Ingresos!$O$190,'Gastos Proyecciones'!$C$10:$T$10,'Gastos Proyecciones'!$C$205:$T$205),FALSE)</f>
        <v>49000</v>
      </c>
    </row>
    <row r="205" spans="1:16">
      <c r="A205" s="363" t="s">
        <v>15</v>
      </c>
      <c r="B205" s="735" t="s">
        <v>16</v>
      </c>
      <c r="C205" s="441" t="s">
        <v>17</v>
      </c>
      <c r="D205" s="737" t="e">
        <f>VLOOKUP(A205,'Gastos Proyecciones'!$A$10:$T$198,LOOKUP($D$22,'Gastos Proyecciones'!$C$10:$T$10,'Gastos Proyecciones'!$C$205:$T$205),FALSE)</f>
        <v>#N/A</v>
      </c>
      <c r="E205" s="16"/>
      <c r="F205" s="699">
        <v>0</v>
      </c>
      <c r="G205" s="16"/>
      <c r="H205" s="44">
        <f t="shared" si="11"/>
        <v>0</v>
      </c>
      <c r="I205" s="16"/>
      <c r="J205" s="16"/>
      <c r="K205" s="16"/>
      <c r="L205" s="50" t="e">
        <f t="shared" si="8"/>
        <v>#DIV/0!</v>
      </c>
      <c r="M205" s="16"/>
      <c r="N205" s="50" t="e">
        <f t="shared" si="9"/>
        <v>#DIV/0!</v>
      </c>
      <c r="O205" s="50" t="e">
        <f t="shared" si="10"/>
        <v>#N/A</v>
      </c>
      <c r="P205" s="16" t="e">
        <f>VLOOKUP(A205,'Gastos Proyecciones'!$A$10:$T$198,LOOKUP(Ingresos!$O$190,'Gastos Proyecciones'!$C$10:$T$10,'Gastos Proyecciones'!$C$205:$T$205),FALSE)</f>
        <v>#N/A</v>
      </c>
    </row>
    <row r="206" spans="1:16">
      <c r="A206" s="363" t="s">
        <v>18</v>
      </c>
      <c r="B206" s="735" t="s">
        <v>19</v>
      </c>
      <c r="C206" s="441" t="s">
        <v>20</v>
      </c>
      <c r="D206" s="737" t="e">
        <f>VLOOKUP(A206,'Gastos Proyecciones'!$A$10:$T$198,LOOKUP($D$22,'Gastos Proyecciones'!$C$10:$T$10,'Gastos Proyecciones'!$C$205:$T$205),FALSE)</f>
        <v>#N/A</v>
      </c>
      <c r="E206" s="16"/>
      <c r="F206" s="699">
        <v>0</v>
      </c>
      <c r="G206" s="16"/>
      <c r="H206" s="44">
        <f t="shared" si="11"/>
        <v>0</v>
      </c>
      <c r="I206" s="16"/>
      <c r="J206" s="16"/>
      <c r="K206" s="16"/>
      <c r="L206" s="52" t="e">
        <f t="shared" si="8"/>
        <v>#DIV/0!</v>
      </c>
      <c r="M206" s="16"/>
      <c r="N206" s="52" t="e">
        <f t="shared" si="9"/>
        <v>#DIV/0!</v>
      </c>
      <c r="O206" s="52" t="e">
        <f t="shared" si="10"/>
        <v>#N/A</v>
      </c>
      <c r="P206" s="16" t="e">
        <f>VLOOKUP(A206,'Gastos Proyecciones'!$A$10:$T$198,LOOKUP(Ingresos!$O$190,'Gastos Proyecciones'!$C$10:$T$10,'Gastos Proyecciones'!$C$205:$T$205),FALSE)</f>
        <v>#N/A</v>
      </c>
    </row>
    <row r="207" spans="1:16" s="12" customFormat="1">
      <c r="A207" s="363" t="s">
        <v>21</v>
      </c>
      <c r="B207" s="735" t="s">
        <v>22</v>
      </c>
      <c r="C207" s="440" t="s">
        <v>23</v>
      </c>
      <c r="D207" s="32" t="e">
        <f>+D208+D209+D210</f>
        <v>#N/A</v>
      </c>
      <c r="E207" s="32">
        <f>+E208+E209+E210</f>
        <v>0</v>
      </c>
      <c r="F207" s="32">
        <f>SUM(F208:F210)</f>
        <v>0</v>
      </c>
      <c r="G207" s="32">
        <f>+G208+G209+G210</f>
        <v>0</v>
      </c>
      <c r="H207" s="32">
        <f t="shared" si="11"/>
        <v>0</v>
      </c>
      <c r="I207" s="32">
        <f>+I208+I209+I210</f>
        <v>0</v>
      </c>
      <c r="J207" s="32">
        <f>+J208+J209+J210</f>
        <v>0</v>
      </c>
      <c r="K207" s="32">
        <f>+K208+K209+K210</f>
        <v>0</v>
      </c>
      <c r="L207" s="50" t="e">
        <f t="shared" si="8"/>
        <v>#DIV/0!</v>
      </c>
      <c r="M207" s="32">
        <f>+M208+M209+M210</f>
        <v>0</v>
      </c>
      <c r="N207" s="50" t="e">
        <f t="shared" si="9"/>
        <v>#DIV/0!</v>
      </c>
      <c r="O207" s="50" t="e">
        <f t="shared" si="10"/>
        <v>#N/A</v>
      </c>
      <c r="P207" s="32" t="e">
        <f>+P208+P209+P210</f>
        <v>#N/A</v>
      </c>
    </row>
    <row r="208" spans="1:16">
      <c r="A208" s="363" t="s">
        <v>24</v>
      </c>
      <c r="B208" s="735" t="s">
        <v>25</v>
      </c>
      <c r="C208" s="441" t="s">
        <v>11</v>
      </c>
      <c r="D208" s="425" t="e">
        <f>VLOOKUP(A208,'Gastos Proyecciones'!$A$10:$T$198,LOOKUP($D$22,'Gastos Proyecciones'!$C$10:$T$10,'Gastos Proyecciones'!$C$205:$T$205),FALSE)</f>
        <v>#N/A</v>
      </c>
      <c r="E208" s="16"/>
      <c r="F208" s="699">
        <v>0</v>
      </c>
      <c r="G208" s="16"/>
      <c r="H208" s="44">
        <f t="shared" si="11"/>
        <v>0</v>
      </c>
      <c r="I208" s="16"/>
      <c r="J208" s="16"/>
      <c r="K208" s="16"/>
      <c r="L208" s="52" t="e">
        <f t="shared" si="8"/>
        <v>#DIV/0!</v>
      </c>
      <c r="M208" s="16"/>
      <c r="N208" s="52" t="e">
        <f t="shared" si="9"/>
        <v>#DIV/0!</v>
      </c>
      <c r="O208" s="52" t="e">
        <f t="shared" si="10"/>
        <v>#N/A</v>
      </c>
      <c r="P208" s="16" t="e">
        <f>VLOOKUP(A208,'Gastos Proyecciones'!$A$10:$T$198,LOOKUP(Ingresos!$O$190,'Gastos Proyecciones'!$C$10:$T$10,'Gastos Proyecciones'!$C$205:$T$205),FALSE)</f>
        <v>#N/A</v>
      </c>
    </row>
    <row r="209" spans="1:16">
      <c r="A209" s="363" t="s">
        <v>26</v>
      </c>
      <c r="B209" s="735" t="s">
        <v>27</v>
      </c>
      <c r="C209" s="441" t="s">
        <v>14</v>
      </c>
      <c r="D209" s="425" t="e">
        <f>VLOOKUP(A209,'Gastos Proyecciones'!$A$10:$T$198,LOOKUP($D$22,'Gastos Proyecciones'!$C$10:$T$10,'Gastos Proyecciones'!$C$205:$T$205),FALSE)</f>
        <v>#N/A</v>
      </c>
      <c r="E209" s="16"/>
      <c r="F209" s="699">
        <v>0</v>
      </c>
      <c r="G209" s="16"/>
      <c r="H209" s="44">
        <f t="shared" si="11"/>
        <v>0</v>
      </c>
      <c r="I209" s="16"/>
      <c r="J209" s="16"/>
      <c r="K209" s="16"/>
      <c r="L209" s="52" t="e">
        <f t="shared" si="8"/>
        <v>#DIV/0!</v>
      </c>
      <c r="M209" s="16"/>
      <c r="N209" s="52" t="e">
        <f t="shared" si="9"/>
        <v>#DIV/0!</v>
      </c>
      <c r="O209" s="52" t="e">
        <f t="shared" si="10"/>
        <v>#N/A</v>
      </c>
      <c r="P209" s="16" t="e">
        <f>VLOOKUP(A209,'Gastos Proyecciones'!$A$10:$T$198,LOOKUP(Ingresos!$O$190,'Gastos Proyecciones'!$C$10:$T$10,'Gastos Proyecciones'!$C$205:$T$205),FALSE)</f>
        <v>#N/A</v>
      </c>
    </row>
    <row r="210" spans="1:16" s="9" customFormat="1" ht="13.5" thickBot="1">
      <c r="A210" s="364" t="s">
        <v>28</v>
      </c>
      <c r="B210" s="754" t="s">
        <v>29</v>
      </c>
      <c r="C210" s="755" t="s">
        <v>17</v>
      </c>
      <c r="D210" s="756" t="e">
        <f>VLOOKUP(A210,'Gastos Proyecciones'!$A$10:$T$198,LOOKUP($D$22,'Gastos Proyecciones'!$C$10:$T$10,'Gastos Proyecciones'!$C$205:$T$205),FALSE)</f>
        <v>#N/A</v>
      </c>
      <c r="E210" s="757"/>
      <c r="F210" s="758">
        <v>0</v>
      </c>
      <c r="G210" s="757"/>
      <c r="H210" s="46">
        <f t="shared" si="11"/>
        <v>0</v>
      </c>
      <c r="I210" s="757"/>
      <c r="J210" s="757"/>
      <c r="K210" s="757"/>
      <c r="L210" s="59" t="e">
        <f t="shared" si="8"/>
        <v>#DIV/0!</v>
      </c>
      <c r="M210" s="757"/>
      <c r="N210" s="60" t="e">
        <f t="shared" si="9"/>
        <v>#DIV/0!</v>
      </c>
      <c r="O210" s="759" t="e">
        <f t="shared" si="10"/>
        <v>#N/A</v>
      </c>
      <c r="P210" s="757" t="e">
        <f>VLOOKUP(A210,'Gastos Proyecciones'!$A$10:$T$198,LOOKUP(Ingresos!$O$190,'Gastos Proyecciones'!$C$10:$T$10,'Gastos Proyecciones'!$C$205:$T$205),FALSE)</f>
        <v>#N/A</v>
      </c>
    </row>
    <row r="211" spans="1:16" s="9" customFormat="1" hidden="1">
      <c r="A211" s="394" t="str">
        <f>A224</f>
        <v>118A</v>
      </c>
      <c r="B211" s="394">
        <f t="shared" ref="B211:O211" si="12">B224</f>
        <v>0</v>
      </c>
      <c r="C211" s="394" t="str">
        <f t="shared" si="12"/>
        <v>ORGANISMOS DE CONTROL</v>
      </c>
      <c r="D211" s="394">
        <f t="shared" si="12"/>
        <v>143138</v>
      </c>
      <c r="E211" s="394">
        <f t="shared" si="12"/>
        <v>0</v>
      </c>
      <c r="F211" s="394">
        <f t="shared" si="12"/>
        <v>0</v>
      </c>
      <c r="G211" s="394">
        <f t="shared" si="12"/>
        <v>0</v>
      </c>
      <c r="H211" s="394">
        <f t="shared" si="12"/>
        <v>0</v>
      </c>
      <c r="I211" s="394">
        <f t="shared" si="12"/>
        <v>0</v>
      </c>
      <c r="J211" s="394">
        <f t="shared" si="12"/>
        <v>0</v>
      </c>
      <c r="K211" s="394">
        <f t="shared" si="12"/>
        <v>0</v>
      </c>
      <c r="L211" s="394" t="e">
        <f t="shared" si="12"/>
        <v>#DIV/0!</v>
      </c>
      <c r="M211" s="394">
        <f t="shared" si="12"/>
        <v>0</v>
      </c>
      <c r="N211" s="394" t="e">
        <f t="shared" si="12"/>
        <v>#DIV/0!</v>
      </c>
      <c r="O211" s="394">
        <f t="shared" si="12"/>
        <v>0</v>
      </c>
      <c r="P211" s="394">
        <f>P224</f>
        <v>143138</v>
      </c>
    </row>
    <row r="212" spans="1:16" s="9" customFormat="1" hidden="1">
      <c r="A212" s="394" t="str">
        <f t="shared" ref="A212:O214" si="13">A225</f>
        <v>242</v>
      </c>
      <c r="B212" s="394">
        <f t="shared" si="13"/>
        <v>0</v>
      </c>
      <c r="C212" s="394" t="str">
        <f t="shared" si="13"/>
        <v>Transferencias a Concejo</v>
      </c>
      <c r="D212" s="394">
        <f t="shared" si="13"/>
        <v>99313</v>
      </c>
      <c r="E212" s="394">
        <f t="shared" si="13"/>
        <v>0</v>
      </c>
      <c r="F212" s="394">
        <f t="shared" si="13"/>
        <v>0</v>
      </c>
      <c r="G212" s="394">
        <f t="shared" si="13"/>
        <v>0</v>
      </c>
      <c r="H212" s="394">
        <f t="shared" si="13"/>
        <v>0</v>
      </c>
      <c r="I212" s="394">
        <f t="shared" si="13"/>
        <v>0</v>
      </c>
      <c r="J212" s="394">
        <f t="shared" si="13"/>
        <v>0</v>
      </c>
      <c r="K212" s="394">
        <f t="shared" si="13"/>
        <v>0</v>
      </c>
      <c r="L212" s="394" t="e">
        <f t="shared" si="13"/>
        <v>#DIV/0!</v>
      </c>
      <c r="M212" s="394">
        <f t="shared" si="13"/>
        <v>0</v>
      </c>
      <c r="N212" s="394" t="e">
        <f t="shared" si="13"/>
        <v>#DIV/0!</v>
      </c>
      <c r="O212" s="394">
        <f t="shared" si="13"/>
        <v>0</v>
      </c>
      <c r="P212" s="394">
        <f>P225</f>
        <v>99313</v>
      </c>
    </row>
    <row r="213" spans="1:16" s="9" customFormat="1" hidden="1">
      <c r="A213" s="394" t="str">
        <f t="shared" si="13"/>
        <v>243</v>
      </c>
      <c r="B213" s="394">
        <f t="shared" si="13"/>
        <v>0</v>
      </c>
      <c r="C213" s="394" t="str">
        <f t="shared" si="13"/>
        <v xml:space="preserve">Transferencias a Contraloría </v>
      </c>
      <c r="D213" s="394">
        <f t="shared" si="13"/>
        <v>0</v>
      </c>
      <c r="E213" s="394">
        <f t="shared" si="13"/>
        <v>0</v>
      </c>
      <c r="F213" s="394">
        <f t="shared" si="13"/>
        <v>0</v>
      </c>
      <c r="G213" s="394">
        <f t="shared" si="13"/>
        <v>0</v>
      </c>
      <c r="H213" s="394">
        <f t="shared" si="13"/>
        <v>0</v>
      </c>
      <c r="I213" s="394">
        <f t="shared" si="13"/>
        <v>0</v>
      </c>
      <c r="J213" s="394">
        <f t="shared" si="13"/>
        <v>0</v>
      </c>
      <c r="K213" s="394">
        <f t="shared" si="13"/>
        <v>0</v>
      </c>
      <c r="L213" s="394" t="e">
        <f t="shared" si="13"/>
        <v>#DIV/0!</v>
      </c>
      <c r="M213" s="394">
        <f t="shared" si="13"/>
        <v>0</v>
      </c>
      <c r="N213" s="394" t="e">
        <f t="shared" si="13"/>
        <v>#DIV/0!</v>
      </c>
      <c r="O213" s="394" t="e">
        <f t="shared" si="13"/>
        <v>#DIV/0!</v>
      </c>
      <c r="P213" s="394">
        <f>P226</f>
        <v>0</v>
      </c>
    </row>
    <row r="214" spans="1:16" s="9" customFormat="1" hidden="1">
      <c r="A214" s="394" t="str">
        <f t="shared" si="13"/>
        <v>244</v>
      </c>
      <c r="B214" s="394">
        <f t="shared" si="13"/>
        <v>0</v>
      </c>
      <c r="C214" s="394" t="str">
        <f t="shared" si="13"/>
        <v>Transferencias a Personería</v>
      </c>
      <c r="D214" s="394">
        <f t="shared" si="13"/>
        <v>43825</v>
      </c>
      <c r="E214" s="394">
        <f t="shared" si="13"/>
        <v>0</v>
      </c>
      <c r="F214" s="394">
        <f t="shared" si="13"/>
        <v>0</v>
      </c>
      <c r="G214" s="394">
        <f t="shared" si="13"/>
        <v>0</v>
      </c>
      <c r="H214" s="394">
        <f t="shared" si="13"/>
        <v>0</v>
      </c>
      <c r="I214" s="394">
        <f t="shared" si="13"/>
        <v>0</v>
      </c>
      <c r="J214" s="394">
        <f t="shared" si="13"/>
        <v>0</v>
      </c>
      <c r="K214" s="394">
        <f t="shared" si="13"/>
        <v>0</v>
      </c>
      <c r="L214" s="394" t="e">
        <f t="shared" si="13"/>
        <v>#DIV/0!</v>
      </c>
      <c r="M214" s="394">
        <f t="shared" si="13"/>
        <v>0</v>
      </c>
      <c r="N214" s="394" t="e">
        <f t="shared" si="13"/>
        <v>#DIV/0!</v>
      </c>
      <c r="O214" s="394">
        <f t="shared" si="13"/>
        <v>0</v>
      </c>
      <c r="P214" s="394">
        <f>P227</f>
        <v>43825</v>
      </c>
    </row>
    <row r="215" spans="1:16" s="9" customFormat="1" hidden="1">
      <c r="A215" s="394" t="str">
        <f>A232</f>
        <v>341A</v>
      </c>
      <c r="B215" s="394">
        <f t="shared" ref="B215:O215" si="14">B232</f>
        <v>0</v>
      </c>
      <c r="C215" s="394" t="str">
        <f t="shared" si="14"/>
        <v>TRANSFERENCIAS A RESGUARDOS INDIGENAS</v>
      </c>
      <c r="D215" s="394">
        <f t="shared" si="14"/>
        <v>0</v>
      </c>
      <c r="E215" s="394">
        <f t="shared" si="14"/>
        <v>0</v>
      </c>
      <c r="F215" s="394">
        <f t="shared" si="14"/>
        <v>0</v>
      </c>
      <c r="G215" s="394">
        <f t="shared" si="14"/>
        <v>0</v>
      </c>
      <c r="H215" s="394">
        <f t="shared" si="14"/>
        <v>0</v>
      </c>
      <c r="I215" s="394">
        <f t="shared" si="14"/>
        <v>0</v>
      </c>
      <c r="J215" s="394">
        <f t="shared" si="14"/>
        <v>0</v>
      </c>
      <c r="K215" s="394">
        <f t="shared" si="14"/>
        <v>0</v>
      </c>
      <c r="L215" s="394" t="e">
        <f t="shared" si="14"/>
        <v>#DIV/0!</v>
      </c>
      <c r="M215" s="394">
        <f t="shared" si="14"/>
        <v>0</v>
      </c>
      <c r="N215" s="394" t="e">
        <f t="shared" si="14"/>
        <v>#DIV/0!</v>
      </c>
      <c r="O215" s="394" t="e">
        <f t="shared" si="14"/>
        <v>#DIV/0!</v>
      </c>
      <c r="P215" s="394">
        <f>P232</f>
        <v>0</v>
      </c>
    </row>
    <row r="216" spans="1:16" s="9" customFormat="1" hidden="1">
      <c r="A216" s="394" t="str">
        <f>A233</f>
        <v>241</v>
      </c>
      <c r="B216" s="394">
        <f t="shared" ref="B216:O216" si="15">B233</f>
        <v>0</v>
      </c>
      <c r="C216" s="394" t="str">
        <f t="shared" si="15"/>
        <v>Resguardos Indigenas</v>
      </c>
      <c r="D216" s="394">
        <f t="shared" si="15"/>
        <v>0</v>
      </c>
      <c r="E216" s="394">
        <f t="shared" si="15"/>
        <v>0</v>
      </c>
      <c r="F216" s="394">
        <f t="shared" si="15"/>
        <v>0</v>
      </c>
      <c r="G216" s="394">
        <f t="shared" si="15"/>
        <v>0</v>
      </c>
      <c r="H216" s="394">
        <f t="shared" si="15"/>
        <v>0</v>
      </c>
      <c r="I216" s="394">
        <f t="shared" si="15"/>
        <v>0</v>
      </c>
      <c r="J216" s="394">
        <f t="shared" si="15"/>
        <v>0</v>
      </c>
      <c r="K216" s="394">
        <f t="shared" si="15"/>
        <v>0</v>
      </c>
      <c r="L216" s="394" t="e">
        <f t="shared" si="15"/>
        <v>#DIV/0!</v>
      </c>
      <c r="M216" s="394">
        <f t="shared" si="15"/>
        <v>0</v>
      </c>
      <c r="N216" s="394" t="e">
        <f t="shared" si="15"/>
        <v>#DIV/0!</v>
      </c>
      <c r="O216" s="394" t="e">
        <f t="shared" si="15"/>
        <v>#DIV/0!</v>
      </c>
      <c r="P216" s="394">
        <f>P233</f>
        <v>0</v>
      </c>
    </row>
    <row r="217" spans="1:16" s="9" customFormat="1" ht="3.75" customHeight="1">
      <c r="A217" s="394"/>
      <c r="B217" s="3"/>
      <c r="C217" s="276"/>
      <c r="D217" s="33"/>
      <c r="E217" s="395"/>
      <c r="F217" s="69"/>
      <c r="G217" s="395"/>
      <c r="H217" s="359"/>
      <c r="I217" s="395"/>
      <c r="J217" s="395"/>
      <c r="K217" s="395"/>
      <c r="L217" s="396"/>
      <c r="M217" s="395"/>
      <c r="N217" s="63"/>
      <c r="O217" s="38"/>
      <c r="P217" s="395"/>
    </row>
    <row r="218" spans="1:16" s="9" customFormat="1" ht="3.75" customHeight="1">
      <c r="A218" s="3"/>
      <c r="B218" s="5"/>
      <c r="C218" s="3"/>
      <c r="D218" s="3"/>
      <c r="E218" s="5"/>
      <c r="F218" s="61" t="e">
        <f>+#REF!+#REF!+#REF!-#REF!-#REF!</f>
        <v>#REF!</v>
      </c>
      <c r="G218" s="5"/>
      <c r="I218" s="5"/>
      <c r="J218" s="5"/>
      <c r="K218" s="5"/>
      <c r="L218" s="39"/>
      <c r="M218" s="5"/>
      <c r="N218" s="39"/>
      <c r="O218" s="39"/>
      <c r="P218" s="5"/>
    </row>
    <row r="219" spans="1:16" s="9" customFormat="1" ht="15.75" thickBot="1">
      <c r="A219" s="2" t="s">
        <v>30</v>
      </c>
      <c r="B219" s="41"/>
      <c r="C219" s="1"/>
      <c r="D219" s="1"/>
      <c r="F219" s="62" t="e">
        <f>+#REF!+#REF!+#REF!-#REF!-#REF!</f>
        <v>#REF!</v>
      </c>
      <c r="L219" s="39"/>
      <c r="N219" s="39"/>
      <c r="O219" s="39"/>
    </row>
    <row r="220" spans="1:16" s="3" customFormat="1" ht="5.25" customHeight="1" thickBot="1">
      <c r="A220" s="1"/>
      <c r="B220" s="5"/>
      <c r="C220" s="1"/>
      <c r="D220" s="1"/>
      <c r="E220" s="9"/>
      <c r="G220" s="9"/>
      <c r="H220" s="5"/>
      <c r="I220" s="9"/>
      <c r="J220" s="9"/>
      <c r="K220" s="9"/>
      <c r="L220" s="63"/>
      <c r="M220" s="9"/>
      <c r="N220" s="63"/>
      <c r="O220" s="63"/>
      <c r="P220" s="9"/>
    </row>
    <row r="221" spans="1:16" ht="51.75" thickBot="1">
      <c r="A221" s="284" t="s">
        <v>31</v>
      </c>
      <c r="B221" s="767"/>
      <c r="C221" s="284" t="s">
        <v>32</v>
      </c>
      <c r="D221" s="352" t="s">
        <v>33</v>
      </c>
      <c r="E221" s="272" t="s">
        <v>798</v>
      </c>
      <c r="F221" s="733"/>
      <c r="G221" s="272" t="s">
        <v>1058</v>
      </c>
      <c r="H221" s="353" t="s">
        <v>800</v>
      </c>
      <c r="I221" s="353" t="s">
        <v>1059</v>
      </c>
      <c r="J221" s="272" t="s">
        <v>1060</v>
      </c>
      <c r="K221" s="272" t="s">
        <v>1061</v>
      </c>
      <c r="L221" s="353" t="s">
        <v>803</v>
      </c>
      <c r="M221" s="272" t="s">
        <v>34</v>
      </c>
      <c r="N221" s="353" t="s">
        <v>805</v>
      </c>
      <c r="O221" s="760" t="s">
        <v>806</v>
      </c>
      <c r="P221" s="272" t="s">
        <v>34</v>
      </c>
    </row>
    <row r="222" spans="1:16" ht="13.5" hidden="1" thickBot="1">
      <c r="A222" s="285"/>
      <c r="B222" s="75"/>
      <c r="C222" s="285"/>
      <c r="D222" s="286"/>
      <c r="E222" s="282"/>
      <c r="F222" s="735"/>
      <c r="G222" s="282"/>
      <c r="H222" s="273"/>
      <c r="I222" s="282"/>
      <c r="J222" s="282"/>
      <c r="K222" s="282"/>
      <c r="L222" s="273"/>
      <c r="M222" s="282"/>
      <c r="N222" s="273"/>
      <c r="O222" s="362" t="s">
        <v>35</v>
      </c>
      <c r="P222" s="282"/>
    </row>
    <row r="223" spans="1:16" ht="13.5" hidden="1" customHeight="1" thickBot="1">
      <c r="A223" s="286"/>
      <c r="B223" s="75"/>
      <c r="C223" s="286"/>
      <c r="D223" s="286"/>
      <c r="E223" s="273"/>
      <c r="F223" s="284" t="s">
        <v>36</v>
      </c>
      <c r="G223" s="273"/>
      <c r="H223" s="273"/>
      <c r="I223" s="273"/>
      <c r="J223" s="273"/>
      <c r="K223" s="273"/>
      <c r="L223" s="273"/>
      <c r="M223" s="273"/>
      <c r="N223" s="273"/>
      <c r="O223" s="362"/>
      <c r="P223" s="273"/>
    </row>
    <row r="224" spans="1:16" s="12" customFormat="1">
      <c r="A224" s="34" t="s">
        <v>37</v>
      </c>
      <c r="B224" s="366"/>
      <c r="C224" s="761" t="s">
        <v>38</v>
      </c>
      <c r="D224" s="64">
        <f>SUM(D225:D227)</f>
        <v>143138</v>
      </c>
      <c r="E224" s="65">
        <f>SUM(E225:E227)</f>
        <v>0</v>
      </c>
      <c r="F224" s="285"/>
      <c r="G224" s="65">
        <f>SUM(G225:G227)</f>
        <v>0</v>
      </c>
      <c r="H224" s="32">
        <f>+G224-E224</f>
        <v>0</v>
      </c>
      <c r="I224" s="699">
        <f>SUM(I225:I227)</f>
        <v>0</v>
      </c>
      <c r="J224" s="65">
        <f>SUM(J225:J227)</f>
        <v>0</v>
      </c>
      <c r="K224" s="65">
        <f>SUM(K225:K227)</f>
        <v>0</v>
      </c>
      <c r="L224" s="50" t="e">
        <f t="shared" si="8"/>
        <v>#DIV/0!</v>
      </c>
      <c r="M224" s="65">
        <f>SUM(M225:M227)</f>
        <v>0</v>
      </c>
      <c r="N224" s="50" t="e">
        <f>+(J224/M224)-1</f>
        <v>#DIV/0!</v>
      </c>
      <c r="O224" s="50">
        <f>+J224/D224</f>
        <v>0</v>
      </c>
      <c r="P224" s="65">
        <f>SUM(P225:P227)</f>
        <v>143138</v>
      </c>
    </row>
    <row r="225" spans="1:16" ht="13.5" thickBot="1">
      <c r="A225" s="22" t="s">
        <v>39</v>
      </c>
      <c r="B225" s="762"/>
      <c r="C225" s="763" t="s">
        <v>40</v>
      </c>
      <c r="D225" s="737">
        <f>VLOOKUP(A225,'Gastos Proyecciones'!$A$10:$T$198,LOOKUP($D$22,'Gastos Proyecciones'!$C$10:$T$10,'Gastos Proyecciones'!$C$205:$T$205),FALSE)</f>
        <v>99313</v>
      </c>
      <c r="E225" s="16"/>
      <c r="F225" s="286"/>
      <c r="G225" s="16"/>
      <c r="H225" s="44">
        <f>+G225-E225</f>
        <v>0</v>
      </c>
      <c r="I225" s="16"/>
      <c r="J225" s="16"/>
      <c r="K225" s="16"/>
      <c r="L225" s="52" t="e">
        <f t="shared" ref="L225:L235" si="16">+J225/G225</f>
        <v>#DIV/0!</v>
      </c>
      <c r="M225" s="16"/>
      <c r="N225" s="52" t="e">
        <f>+(J225/M225)-1</f>
        <v>#DIV/0!</v>
      </c>
      <c r="O225" s="52">
        <f>+J225/D225</f>
        <v>0</v>
      </c>
      <c r="P225" s="16">
        <f>VLOOKUP(A225,'Gastos Proyecciones'!$A$10:$T$198,LOOKUP(Ingresos!$O$190,'Gastos Proyecciones'!$C$10:$T$10,'Gastos Proyecciones'!$C$205:$T$205),FALSE)</f>
        <v>99313</v>
      </c>
    </row>
    <row r="226" spans="1:16">
      <c r="A226" s="66" t="s">
        <v>41</v>
      </c>
      <c r="B226" s="764"/>
      <c r="C226" s="763" t="s">
        <v>42</v>
      </c>
      <c r="D226" s="737">
        <f>VLOOKUP(A226,'Gastos Proyecciones'!$A$10:$T$198,LOOKUP($D$22,'Gastos Proyecciones'!$C$10:$T$10,'Gastos Proyecciones'!$C$205:$T$205),FALSE)</f>
        <v>0</v>
      </c>
      <c r="E226" s="16"/>
      <c r="F226" s="67"/>
      <c r="G226" s="16"/>
      <c r="H226" s="44">
        <f>+G226-E226</f>
        <v>0</v>
      </c>
      <c r="I226" s="16"/>
      <c r="J226" s="16"/>
      <c r="K226" s="16"/>
      <c r="L226" s="52" t="e">
        <f t="shared" si="16"/>
        <v>#DIV/0!</v>
      </c>
      <c r="M226" s="16"/>
      <c r="N226" s="52" t="e">
        <f>+(J226/M226)-1</f>
        <v>#DIV/0!</v>
      </c>
      <c r="O226" s="52" t="e">
        <f>+J226/D226</f>
        <v>#DIV/0!</v>
      </c>
      <c r="P226" s="16">
        <f>VLOOKUP(A226,'Gastos Proyecciones'!$A$10:$T$198,LOOKUP(Ingresos!$O$190,'Gastos Proyecciones'!$C$10:$T$10,'Gastos Proyecciones'!$C$205:$T$205),FALSE)</f>
        <v>0</v>
      </c>
    </row>
    <row r="227" spans="1:16" ht="13.5" thickBot="1">
      <c r="A227" s="402" t="s">
        <v>43</v>
      </c>
      <c r="B227" s="765"/>
      <c r="C227" s="766" t="s">
        <v>44</v>
      </c>
      <c r="D227" s="757">
        <f>VLOOKUP(A227,'Gastos Proyecciones'!$A$10:$T$198,LOOKUP($D$22,'Gastos Proyecciones'!$C$10:$T$10,'Gastos Proyecciones'!$C$205:$T$205),FALSE)</f>
        <v>43825</v>
      </c>
      <c r="E227" s="757"/>
      <c r="F227" s="62"/>
      <c r="G227" s="757"/>
      <c r="H227" s="46">
        <f>+G227-E227</f>
        <v>0</v>
      </c>
      <c r="I227" s="757"/>
      <c r="J227" s="757"/>
      <c r="K227" s="757"/>
      <c r="L227" s="59" t="e">
        <f t="shared" si="16"/>
        <v>#DIV/0!</v>
      </c>
      <c r="M227" s="757"/>
      <c r="N227" s="60" t="e">
        <f>+(J227/M227)-1</f>
        <v>#DIV/0!</v>
      </c>
      <c r="O227" s="759">
        <f>+J227/D227</f>
        <v>0</v>
      </c>
      <c r="P227" s="757">
        <f>VLOOKUP(A227,'Gastos Proyecciones'!$A$10:$T$198,LOOKUP(Ingresos!$O$190,'Gastos Proyecciones'!$C$10:$T$10,'Gastos Proyecciones'!$C$205:$T$205),FALSE)</f>
        <v>43825</v>
      </c>
    </row>
    <row r="228" spans="1:16" ht="4.5" customHeight="1" thickBot="1">
      <c r="F228" s="61" t="e">
        <f>+E226+#REF!+#REF!-#REF!-#REF!</f>
        <v>#REF!</v>
      </c>
      <c r="G228" s="9"/>
      <c r="L228" s="37"/>
      <c r="M228" s="9"/>
      <c r="N228" s="37"/>
      <c r="P228" s="9"/>
    </row>
    <row r="229" spans="1:16" ht="51.75" thickBot="1">
      <c r="A229" s="284" t="s">
        <v>31</v>
      </c>
      <c r="B229" s="773"/>
      <c r="C229" s="284" t="s">
        <v>32</v>
      </c>
      <c r="D229" s="352" t="s">
        <v>33</v>
      </c>
      <c r="E229" s="272" t="s">
        <v>798</v>
      </c>
      <c r="F229" s="733"/>
      <c r="G229" s="272" t="s">
        <v>1058</v>
      </c>
      <c r="H229" s="353" t="s">
        <v>800</v>
      </c>
      <c r="I229" s="272" t="s">
        <v>1059</v>
      </c>
      <c r="J229" s="272" t="s">
        <v>1060</v>
      </c>
      <c r="K229" s="272" t="s">
        <v>1061</v>
      </c>
      <c r="L229" s="353" t="s">
        <v>803</v>
      </c>
      <c r="M229" s="272" t="s">
        <v>34</v>
      </c>
      <c r="N229" s="353" t="s">
        <v>805</v>
      </c>
      <c r="O229" s="760" t="s">
        <v>806</v>
      </c>
      <c r="P229" s="272" t="s">
        <v>34</v>
      </c>
    </row>
    <row r="230" spans="1:16" ht="13.5" hidden="1" thickBot="1">
      <c r="A230" s="285"/>
      <c r="B230" s="768"/>
      <c r="C230" s="285"/>
      <c r="D230" s="285" t="s">
        <v>45</v>
      </c>
      <c r="E230" s="282"/>
      <c r="F230" s="735"/>
      <c r="G230" s="282"/>
      <c r="H230" s="282"/>
      <c r="I230" s="282"/>
      <c r="J230" s="282"/>
      <c r="K230" s="282"/>
      <c r="L230" s="282"/>
      <c r="M230" s="282"/>
      <c r="N230" s="282"/>
      <c r="O230" s="769" t="s">
        <v>35</v>
      </c>
      <c r="P230" s="282"/>
    </row>
    <row r="231" spans="1:16" ht="24.75" hidden="1" customHeight="1" thickBot="1">
      <c r="A231" s="286"/>
      <c r="B231" s="768"/>
      <c r="C231" s="286"/>
      <c r="D231" s="286"/>
      <c r="E231" s="273"/>
      <c r="F231" s="284" t="s">
        <v>36</v>
      </c>
      <c r="G231" s="273"/>
      <c r="H231" s="273"/>
      <c r="I231" s="273"/>
      <c r="J231" s="273"/>
      <c r="K231" s="273"/>
      <c r="L231" s="273"/>
      <c r="M231" s="273"/>
      <c r="N231" s="273"/>
      <c r="O231" s="362"/>
      <c r="P231" s="273"/>
    </row>
    <row r="232" spans="1:16" s="12" customFormat="1">
      <c r="A232" s="35" t="s">
        <v>46</v>
      </c>
      <c r="B232" s="770"/>
      <c r="C232" s="761" t="s">
        <v>47</v>
      </c>
      <c r="D232" s="64">
        <f>SUM(D233:D235)</f>
        <v>0</v>
      </c>
      <c r="E232" s="65">
        <f>SUM(E233:E235)</f>
        <v>0</v>
      </c>
      <c r="F232" s="285"/>
      <c r="G232" s="65">
        <f>SUM(G233:G235)</f>
        <v>0</v>
      </c>
      <c r="H232" s="32">
        <f>+G232-E232</f>
        <v>0</v>
      </c>
      <c r="I232" s="65">
        <f>SUM(I233:I235)</f>
        <v>0</v>
      </c>
      <c r="J232" s="65">
        <f>SUM(J233:J235)</f>
        <v>0</v>
      </c>
      <c r="K232" s="65">
        <f>SUM(K233:K235)</f>
        <v>0</v>
      </c>
      <c r="L232" s="50" t="e">
        <f t="shared" si="16"/>
        <v>#DIV/0!</v>
      </c>
      <c r="M232" s="65">
        <f>SUM(M233:M235)</f>
        <v>0</v>
      </c>
      <c r="N232" s="50" t="e">
        <f>+(J232/M232)-1</f>
        <v>#DIV/0!</v>
      </c>
      <c r="O232" s="50" t="e">
        <f>+J232/D232</f>
        <v>#DIV/0!</v>
      </c>
      <c r="P232" s="65">
        <f>SUM(P233:P235)</f>
        <v>0</v>
      </c>
    </row>
    <row r="233" spans="1:16" ht="13.5" thickBot="1">
      <c r="A233" s="22" t="s">
        <v>48</v>
      </c>
      <c r="B233" s="768"/>
      <c r="C233" s="763" t="s">
        <v>49</v>
      </c>
      <c r="D233" s="22">
        <f>VLOOKUP(A233,'Gastos Proyecciones'!$A$10:$T$198,LOOKUP($D$22,'Gastos Proyecciones'!$C$10:$T$10,'Gastos Proyecciones'!$C$205:$T$205),FALSE)</f>
        <v>0</v>
      </c>
      <c r="E233" s="16"/>
      <c r="F233" s="286"/>
      <c r="G233" s="16"/>
      <c r="H233" s="44">
        <f>+G233-E233</f>
        <v>0</v>
      </c>
      <c r="I233" s="16"/>
      <c r="J233" s="16"/>
      <c r="K233" s="16"/>
      <c r="L233" s="52" t="e">
        <f t="shared" si="16"/>
        <v>#DIV/0!</v>
      </c>
      <c r="M233" s="16"/>
      <c r="N233" s="52" t="e">
        <f>+(J233/M233)-1</f>
        <v>#DIV/0!</v>
      </c>
      <c r="O233" s="52" t="e">
        <f>+J233/D233</f>
        <v>#DIV/0!</v>
      </c>
      <c r="P233" s="16">
        <f>VLOOKUP(A233,'Gastos Proyecciones'!$A$10:$T$198,LOOKUP(Ingresos!$O$190,'Gastos Proyecciones'!$C$10:$T$10,'Gastos Proyecciones'!$C$205:$T$205),FALSE)</f>
        <v>0</v>
      </c>
    </row>
    <row r="234" spans="1:16" ht="5.25" customHeight="1">
      <c r="A234" s="22"/>
      <c r="B234" s="768"/>
      <c r="C234" s="763"/>
      <c r="D234" s="71"/>
      <c r="E234" s="6"/>
      <c r="F234" s="72" t="e">
        <f>+E232+#REF!+#REF!-#REF!-#REF!</f>
        <v>#REF!</v>
      </c>
      <c r="G234" s="6"/>
      <c r="H234" s="44">
        <f>+G234-E234</f>
        <v>0</v>
      </c>
      <c r="I234" s="6"/>
      <c r="J234" s="6"/>
      <c r="K234" s="6"/>
      <c r="L234" s="52" t="e">
        <f t="shared" si="16"/>
        <v>#DIV/0!</v>
      </c>
      <c r="M234" s="6"/>
      <c r="N234" s="52" t="e">
        <f>+(J234/M234)-1</f>
        <v>#DIV/0!</v>
      </c>
      <c r="O234" s="52" t="e">
        <f>+J234/D234</f>
        <v>#DIV/0!</v>
      </c>
      <c r="P234" s="6"/>
    </row>
    <row r="235" spans="1:16" ht="5.25" customHeight="1" thickBot="1">
      <c r="A235" s="23"/>
      <c r="B235" s="771"/>
      <c r="C235" s="766"/>
      <c r="D235" s="73"/>
      <c r="E235" s="70"/>
      <c r="F235" s="772" t="e">
        <f>+E233+#REF!+#REF!-#REF!-#REF!</f>
        <v>#REF!</v>
      </c>
      <c r="G235" s="70"/>
      <c r="H235" s="46">
        <f>+G235-E235</f>
        <v>0</v>
      </c>
      <c r="I235" s="70"/>
      <c r="J235" s="70"/>
      <c r="K235" s="70"/>
      <c r="L235" s="59" t="e">
        <f t="shared" si="16"/>
        <v>#DIV/0!</v>
      </c>
      <c r="M235" s="70"/>
      <c r="N235" s="60" t="e">
        <f>+(J235/M235)-1</f>
        <v>#DIV/0!</v>
      </c>
      <c r="O235" s="759" t="e">
        <f>+J235/D235</f>
        <v>#DIV/0!</v>
      </c>
      <c r="P235" s="70"/>
    </row>
    <row r="236" spans="1:16">
      <c r="A236" s="4"/>
      <c r="B236" s="36"/>
      <c r="D236" s="9"/>
      <c r="F236" s="61" t="e">
        <f>+E234+#REF!+#REF!-#REF!-#REF!</f>
        <v>#REF!</v>
      </c>
      <c r="G236" s="68"/>
    </row>
    <row r="237" spans="1:16" ht="13.5" thickBot="1">
      <c r="A237" s="4"/>
      <c r="B237" s="36"/>
      <c r="D237" s="9"/>
      <c r="F237" s="62" t="e">
        <f>+E235+#REF!+#REF!-#REF!-#REF!</f>
        <v>#REF!</v>
      </c>
      <c r="G237" s="68"/>
    </row>
    <row r="238" spans="1:16">
      <c r="A238" s="4"/>
      <c r="B238" s="36"/>
      <c r="D238" s="9"/>
    </row>
    <row r="239" spans="1:16">
      <c r="A239" s="4"/>
      <c r="B239" s="36"/>
      <c r="D239" s="9"/>
    </row>
    <row r="240" spans="1:16">
      <c r="A240" s="4"/>
      <c r="B240" s="36"/>
      <c r="D240" s="9"/>
    </row>
    <row r="241" spans="1:8">
      <c r="A241" s="4"/>
      <c r="B241" s="36"/>
      <c r="D241" s="9"/>
    </row>
    <row r="242" spans="1:8">
      <c r="A242" s="4"/>
      <c r="B242" s="36"/>
      <c r="D242" s="9"/>
    </row>
    <row r="243" spans="1:8">
      <c r="A243" s="4"/>
      <c r="B243" s="36"/>
      <c r="D243" s="9"/>
    </row>
    <row r="244" spans="1:8">
      <c r="A244" s="4"/>
      <c r="B244" s="36"/>
      <c r="D244" s="9"/>
    </row>
    <row r="245" spans="1:8">
      <c r="A245" s="4"/>
      <c r="B245" s="36"/>
      <c r="D245" s="9"/>
    </row>
    <row r="246" spans="1:8">
      <c r="A246" s="4"/>
      <c r="B246" s="36"/>
      <c r="D246" s="9"/>
    </row>
    <row r="247" spans="1:8">
      <c r="A247" s="4"/>
      <c r="B247" s="36"/>
      <c r="D247" s="9"/>
    </row>
    <row r="248" spans="1:8">
      <c r="A248" s="4"/>
      <c r="B248" s="36"/>
      <c r="D248" s="9"/>
    </row>
    <row r="249" spans="1:8">
      <c r="A249" s="4"/>
      <c r="B249" s="36"/>
      <c r="D249" s="9"/>
    </row>
    <row r="250" spans="1:8">
      <c r="D250" s="9"/>
    </row>
    <row r="251" spans="1:8">
      <c r="D251" s="9"/>
    </row>
    <row r="252" spans="1:8">
      <c r="D252" s="9"/>
    </row>
    <row r="253" spans="1:8">
      <c r="D253" s="9"/>
    </row>
    <row r="254" spans="1:8">
      <c r="D254" s="9"/>
      <c r="G254" s="51"/>
      <c r="H254" s="726"/>
    </row>
    <row r="255" spans="1:8">
      <c r="D255" s="9"/>
      <c r="G255" s="51"/>
      <c r="H255" s="726"/>
    </row>
    <row r="256" spans="1:8">
      <c r="D256" s="9"/>
    </row>
    <row r="257" spans="4:4">
      <c r="D257" s="9"/>
    </row>
    <row r="258" spans="4:4">
      <c r="D258" s="9"/>
    </row>
    <row r="259" spans="4:4">
      <c r="D259" s="9"/>
    </row>
    <row r="260" spans="4:4">
      <c r="D260" s="9"/>
    </row>
    <row r="261" spans="4:4">
      <c r="D261" s="9"/>
    </row>
    <row r="262" spans="4:4">
      <c r="D262" s="9"/>
    </row>
    <row r="263" spans="4:4">
      <c r="D263" s="9"/>
    </row>
    <row r="264" spans="4:4">
      <c r="D264" s="9"/>
    </row>
    <row r="265" spans="4:4">
      <c r="D265" s="9"/>
    </row>
    <row r="266" spans="4:4">
      <c r="D266" s="9"/>
    </row>
    <row r="267" spans="4:4">
      <c r="D267" s="9"/>
    </row>
  </sheetData>
  <phoneticPr fontId="33" type="noConversion"/>
  <printOptions horizontalCentered="1" verticalCentered="1" gridLines="1"/>
  <pageMargins left="0.19685039370078741" right="0.19685039370078741" top="0.47244094488188981" bottom="0.43307086614173229" header="0" footer="0.23622047244094491"/>
  <pageSetup scale="70" fitToWidth="6" fitToHeight="3" orientation="landscape" horizontalDpi="120" verticalDpi="144" r:id="rId1"/>
  <headerFooter alignWithMargins="0">
    <oddHeader>&amp;C&amp;"Arial,Negrita"&amp;12&amp;F</oddHeader>
    <oddFooter>&amp;L&amp;"Arial,Negrita"&amp;F  &amp;A&amp;R&amp;"Arial,Negrita"Página &amp;P de &amp;N</oddFooter>
  </headerFooter>
  <legacyDrawing r:id="rId2"/>
</worksheet>
</file>

<file path=xl/worksheets/sheet17.xml><?xml version="1.0" encoding="utf-8"?>
<worksheet xmlns="http://schemas.openxmlformats.org/spreadsheetml/2006/main" xmlns:r="http://schemas.openxmlformats.org/officeDocument/2006/relationships">
  <dimension ref="A1:H57"/>
  <sheetViews>
    <sheetView topLeftCell="A37" workbookViewId="0">
      <selection activeCell="A53" sqref="A53:C57"/>
    </sheetView>
  </sheetViews>
  <sheetFormatPr baseColWidth="10" defaultRowHeight="15"/>
  <cols>
    <col min="1" max="1" width="9.85546875" style="1244" customWidth="1"/>
    <col min="2" max="2" width="38.140625" style="1244" customWidth="1"/>
    <col min="3" max="3" width="15.7109375" style="1244" customWidth="1"/>
    <col min="4" max="4" width="15.7109375" style="1245" customWidth="1"/>
    <col min="5" max="38" width="15.7109375" style="1244" customWidth="1"/>
    <col min="39" max="16384" width="11.42578125" style="1244"/>
  </cols>
  <sheetData>
    <row r="1" spans="1:8">
      <c r="A1" s="1244">
        <v>4</v>
      </c>
    </row>
    <row r="2" spans="1:8" s="1246" customFormat="1" ht="15.75">
      <c r="A2" s="1246" t="s">
        <v>697</v>
      </c>
      <c r="C2" s="1246" t="s">
        <v>698</v>
      </c>
      <c r="D2" s="1247"/>
    </row>
    <row r="3" spans="1:8" ht="27" customHeight="1">
      <c r="A3" s="1244">
        <v>2002</v>
      </c>
      <c r="B3" s="1248" t="s">
        <v>1147</v>
      </c>
      <c r="C3" s="1249">
        <v>26031</v>
      </c>
      <c r="F3" s="1244">
        <v>2002</v>
      </c>
      <c r="G3" s="1248"/>
      <c r="H3" s="1249">
        <f>+C3</f>
        <v>26031</v>
      </c>
    </row>
    <row r="4" spans="1:8">
      <c r="A4" s="1244">
        <v>2003</v>
      </c>
      <c r="B4" s="1250" t="s">
        <v>1147</v>
      </c>
      <c r="C4" s="1249">
        <v>43201</v>
      </c>
      <c r="F4" s="1244">
        <v>2003</v>
      </c>
      <c r="G4" s="1250"/>
      <c r="H4" s="1249">
        <f>+C4</f>
        <v>43201</v>
      </c>
    </row>
    <row r="5" spans="1:8">
      <c r="A5" s="1244">
        <v>2004</v>
      </c>
      <c r="B5" s="1250" t="s">
        <v>1147</v>
      </c>
      <c r="C5" s="1249">
        <v>54737</v>
      </c>
      <c r="F5" s="1244">
        <v>2004</v>
      </c>
      <c r="G5" s="1250"/>
      <c r="H5" s="1249">
        <f>+C5</f>
        <v>54737</v>
      </c>
    </row>
    <row r="6" spans="1:8">
      <c r="A6" s="1244">
        <v>2005</v>
      </c>
      <c r="B6" s="1250" t="s">
        <v>1147</v>
      </c>
      <c r="C6" s="1249">
        <v>73529</v>
      </c>
      <c r="F6" s="1244">
        <v>2005</v>
      </c>
      <c r="G6" s="1250"/>
      <c r="H6" s="1249">
        <f>+C6</f>
        <v>73529</v>
      </c>
    </row>
    <row r="7" spans="1:8" ht="15.75">
      <c r="A7" s="1246" t="s">
        <v>697</v>
      </c>
      <c r="B7" s="1246"/>
      <c r="C7" s="1246" t="s">
        <v>698</v>
      </c>
    </row>
    <row r="8" spans="1:8" ht="15.75">
      <c r="A8" s="1244">
        <v>2002</v>
      </c>
      <c r="B8" s="1248" t="s">
        <v>690</v>
      </c>
      <c r="C8" s="1249">
        <v>82268</v>
      </c>
    </row>
    <row r="9" spans="1:8" ht="15.75">
      <c r="A9" s="1244">
        <v>2003</v>
      </c>
      <c r="B9" s="1248" t="s">
        <v>690</v>
      </c>
      <c r="C9" s="1249">
        <v>90340</v>
      </c>
    </row>
    <row r="10" spans="1:8" ht="15.75">
      <c r="A10" s="1244">
        <v>2004</v>
      </c>
      <c r="B10" s="1248" t="s">
        <v>690</v>
      </c>
      <c r="C10" s="1249">
        <v>48728</v>
      </c>
    </row>
    <row r="11" spans="1:8" ht="15.75">
      <c r="A11" s="1244">
        <v>2005</v>
      </c>
      <c r="B11" s="1248" t="s">
        <v>690</v>
      </c>
      <c r="C11" s="1249">
        <v>31266</v>
      </c>
    </row>
    <row r="12" spans="1:8">
      <c r="B12" s="1250"/>
      <c r="C12" s="1249"/>
    </row>
    <row r="14" spans="1:8" ht="15.75">
      <c r="A14" s="1246" t="s">
        <v>697</v>
      </c>
      <c r="B14" s="1246"/>
      <c r="C14" s="1246" t="s">
        <v>698</v>
      </c>
    </row>
    <row r="15" spans="1:8">
      <c r="A15" s="1244">
        <v>2002</v>
      </c>
      <c r="B15" s="1244" t="s">
        <v>691</v>
      </c>
      <c r="C15" s="1244">
        <v>6741</v>
      </c>
    </row>
    <row r="16" spans="1:8">
      <c r="A16" s="1244">
        <v>2003</v>
      </c>
      <c r="B16" s="1244" t="s">
        <v>691</v>
      </c>
      <c r="C16" s="1244">
        <v>6934</v>
      </c>
    </row>
    <row r="17" spans="1:7">
      <c r="A17" s="1244">
        <v>2004</v>
      </c>
      <c r="B17" s="1244" t="s">
        <v>691</v>
      </c>
      <c r="C17" s="1244">
        <v>2986</v>
      </c>
    </row>
    <row r="18" spans="1:7">
      <c r="A18" s="1244">
        <v>2005</v>
      </c>
      <c r="B18" s="1244" t="s">
        <v>691</v>
      </c>
      <c r="C18" s="1244">
        <v>4369</v>
      </c>
    </row>
    <row r="22" spans="1:7" ht="15.75">
      <c r="A22" s="1246" t="s">
        <v>697</v>
      </c>
      <c r="B22" s="1246"/>
      <c r="C22" s="1246" t="s">
        <v>698</v>
      </c>
    </row>
    <row r="23" spans="1:7" ht="15.75">
      <c r="A23" s="1244">
        <v>2002</v>
      </c>
      <c r="B23" s="1248" t="s">
        <v>692</v>
      </c>
      <c r="C23" s="1249">
        <f>4314+1982</f>
        <v>6296</v>
      </c>
    </row>
    <row r="24" spans="1:7" ht="15.75">
      <c r="A24" s="1244">
        <v>2003</v>
      </c>
      <c r="B24" s="1248" t="s">
        <v>692</v>
      </c>
      <c r="C24" s="1249">
        <f>13746+158</f>
        <v>13904</v>
      </c>
    </row>
    <row r="25" spans="1:7" ht="15.75">
      <c r="A25" s="1244">
        <v>2004</v>
      </c>
      <c r="B25" s="1248" t="s">
        <v>692</v>
      </c>
      <c r="C25" s="1249">
        <v>12475</v>
      </c>
    </row>
    <row r="26" spans="1:7" ht="15.75">
      <c r="A26" s="1244">
        <v>2005</v>
      </c>
      <c r="B26" s="1248" t="s">
        <v>692</v>
      </c>
      <c r="C26" s="1249">
        <v>11585</v>
      </c>
    </row>
    <row r="27" spans="1:7">
      <c r="B27" s="1250"/>
      <c r="C27" s="1249"/>
    </row>
    <row r="28" spans="1:7">
      <c r="B28" s="1250"/>
      <c r="C28" s="1249"/>
    </row>
    <row r="29" spans="1:7" ht="15.75">
      <c r="A29" s="1246" t="s">
        <v>697</v>
      </c>
      <c r="B29" s="1246"/>
      <c r="C29" s="1246" t="s">
        <v>698</v>
      </c>
    </row>
    <row r="30" spans="1:7" ht="18">
      <c r="A30" s="1244">
        <v>2002</v>
      </c>
      <c r="B30" s="1252" t="s">
        <v>693</v>
      </c>
      <c r="C30" s="1251">
        <v>0</v>
      </c>
      <c r="F30" s="1252"/>
      <c r="G30" s="1249">
        <f>+C30</f>
        <v>0</v>
      </c>
    </row>
    <row r="31" spans="1:7" ht="18">
      <c r="A31" s="1244">
        <v>2003</v>
      </c>
      <c r="B31" s="1252" t="s">
        <v>693</v>
      </c>
      <c r="C31" s="1251">
        <v>13294</v>
      </c>
      <c r="F31" s="1252"/>
      <c r="G31" s="1249">
        <f>+C31</f>
        <v>13294</v>
      </c>
    </row>
    <row r="32" spans="1:7" ht="18">
      <c r="A32" s="1244">
        <v>2004</v>
      </c>
      <c r="B32" s="1252" t="s">
        <v>693</v>
      </c>
      <c r="C32" s="1251">
        <v>26886</v>
      </c>
      <c r="F32" s="1252"/>
      <c r="G32" s="1249">
        <f>+C32</f>
        <v>26886</v>
      </c>
    </row>
    <row r="33" spans="1:7" ht="18">
      <c r="A33" s="1244">
        <v>2005</v>
      </c>
      <c r="B33" s="1252" t="s">
        <v>693</v>
      </c>
      <c r="C33" s="1251">
        <v>22363</v>
      </c>
      <c r="F33" s="1252"/>
      <c r="G33" s="1249">
        <f>+C33</f>
        <v>22363</v>
      </c>
    </row>
    <row r="34" spans="1:7" ht="19.5">
      <c r="B34" s="1253"/>
      <c r="C34" s="1251"/>
    </row>
    <row r="35" spans="1:7" ht="15.75">
      <c r="A35" s="1246" t="s">
        <v>697</v>
      </c>
      <c r="B35" s="1246"/>
      <c r="C35" s="1246" t="s">
        <v>698</v>
      </c>
    </row>
    <row r="36" spans="1:7" ht="18">
      <c r="A36" s="1244">
        <v>2002</v>
      </c>
      <c r="B36" s="1252" t="s">
        <v>694</v>
      </c>
      <c r="C36" s="1251">
        <v>957570</v>
      </c>
    </row>
    <row r="37" spans="1:7" ht="18">
      <c r="A37" s="1244">
        <v>2003</v>
      </c>
      <c r="B37" s="1252" t="s">
        <v>694</v>
      </c>
      <c r="C37" s="1251">
        <v>752917</v>
      </c>
    </row>
    <row r="38" spans="1:7" ht="18">
      <c r="A38" s="1244">
        <v>2004</v>
      </c>
      <c r="B38" s="1252" t="s">
        <v>694</v>
      </c>
      <c r="C38" s="1251">
        <v>458639</v>
      </c>
    </row>
    <row r="39" spans="1:7" ht="18">
      <c r="A39" s="1244">
        <v>2005</v>
      </c>
      <c r="B39" s="1252" t="s">
        <v>694</v>
      </c>
      <c r="C39" s="1251">
        <v>363837</v>
      </c>
    </row>
    <row r="40" spans="1:7" ht="19.5">
      <c r="B40" s="1253"/>
      <c r="C40" s="1249"/>
    </row>
    <row r="41" spans="1:7" ht="19.5">
      <c r="B41" s="1253"/>
      <c r="C41" s="1249"/>
    </row>
    <row r="42" spans="1:7" ht="15.75">
      <c r="A42" s="1246" t="s">
        <v>697</v>
      </c>
      <c r="B42" s="1246"/>
      <c r="C42" s="1246" t="s">
        <v>698</v>
      </c>
    </row>
    <row r="43" spans="1:7" ht="18">
      <c r="A43" s="1244">
        <v>2002</v>
      </c>
      <c r="B43" s="1252" t="s">
        <v>695</v>
      </c>
      <c r="C43" s="1251">
        <v>1296330</v>
      </c>
      <c r="D43" s="1254"/>
      <c r="E43" s="1255"/>
    </row>
    <row r="44" spans="1:7" ht="18">
      <c r="A44" s="1244">
        <v>2003</v>
      </c>
      <c r="B44" s="1252" t="s">
        <v>695</v>
      </c>
      <c r="C44" s="1251">
        <v>2239389</v>
      </c>
    </row>
    <row r="45" spans="1:7" ht="18">
      <c r="A45" s="1244">
        <v>2004</v>
      </c>
      <c r="B45" s="1252" t="s">
        <v>695</v>
      </c>
      <c r="C45" s="1251">
        <v>2775938</v>
      </c>
    </row>
    <row r="46" spans="1:7" ht="18">
      <c r="A46" s="1244">
        <v>2005</v>
      </c>
      <c r="B46" s="1252" t="s">
        <v>695</v>
      </c>
      <c r="C46" s="1251">
        <v>1278202</v>
      </c>
    </row>
    <row r="47" spans="1:7" ht="15.75">
      <c r="A47" s="1246" t="s">
        <v>697</v>
      </c>
      <c r="B47" s="1246"/>
      <c r="C47" s="1246" t="s">
        <v>698</v>
      </c>
    </row>
    <row r="48" spans="1:7" s="1255" customFormat="1" ht="21" customHeight="1">
      <c r="A48" s="1244">
        <v>2002</v>
      </c>
      <c r="B48" s="1252" t="s">
        <v>696</v>
      </c>
      <c r="C48" s="1251">
        <v>1625820</v>
      </c>
      <c r="D48" s="1254"/>
    </row>
    <row r="49" spans="1:3" ht="18">
      <c r="A49" s="1244">
        <v>2003</v>
      </c>
      <c r="B49" s="1252" t="s">
        <v>696</v>
      </c>
      <c r="C49" s="1251">
        <f>1377352+550941</f>
        <v>1928293</v>
      </c>
    </row>
    <row r="50" spans="1:3" ht="18">
      <c r="A50" s="1244">
        <v>2004</v>
      </c>
      <c r="B50" s="1252" t="s">
        <v>696</v>
      </c>
      <c r="C50" s="1251">
        <f>1396071+599469</f>
        <v>1995540</v>
      </c>
    </row>
    <row r="51" spans="1:3" ht="18">
      <c r="A51" s="1244">
        <v>2005</v>
      </c>
      <c r="B51" s="1252" t="s">
        <v>696</v>
      </c>
      <c r="C51" s="1251">
        <f>1231454+532088</f>
        <v>1763542</v>
      </c>
    </row>
    <row r="53" spans="1:3" ht="15.75">
      <c r="A53" s="1246" t="s">
        <v>697</v>
      </c>
      <c r="B53" s="1246"/>
      <c r="C53" s="1246" t="s">
        <v>698</v>
      </c>
    </row>
    <row r="54" spans="1:3" ht="18">
      <c r="A54" s="1244">
        <v>2002</v>
      </c>
      <c r="B54" s="1252" t="s">
        <v>699</v>
      </c>
      <c r="C54" s="1251">
        <v>30631</v>
      </c>
    </row>
    <row r="55" spans="1:3" ht="18">
      <c r="A55" s="1244">
        <v>2003</v>
      </c>
      <c r="B55" s="1252" t="s">
        <v>699</v>
      </c>
      <c r="C55" s="1251">
        <v>52967</v>
      </c>
    </row>
    <row r="56" spans="1:3" ht="18">
      <c r="A56" s="1244">
        <v>2004</v>
      </c>
      <c r="B56" s="1252" t="s">
        <v>699</v>
      </c>
      <c r="C56" s="1251">
        <v>30110</v>
      </c>
    </row>
    <row r="57" spans="1:3" ht="18">
      <c r="A57" s="1244">
        <v>2005</v>
      </c>
      <c r="B57" s="1252" t="s">
        <v>699</v>
      </c>
      <c r="C57" s="1251">
        <v>26889</v>
      </c>
    </row>
  </sheetData>
  <phoneticPr fontId="33"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sheetPr codeName="Hoja3" enableFormatConditionsCalculation="0">
    <tabColor indexed="11"/>
    <pageSetUpPr fitToPage="1"/>
  </sheetPr>
  <dimension ref="A1:V315"/>
  <sheetViews>
    <sheetView tabSelected="1" topLeftCell="B1" zoomScale="80" zoomScaleNormal="80" workbookViewId="0">
      <selection activeCell="L26" sqref="L26"/>
    </sheetView>
  </sheetViews>
  <sheetFormatPr baseColWidth="10" defaultRowHeight="12"/>
  <cols>
    <col min="1" max="1" width="9.7109375" style="458" hidden="1" customWidth="1"/>
    <col min="2" max="2" width="53.42578125" style="876" customWidth="1"/>
    <col min="3" max="3" width="15.42578125" style="454" hidden="1" customWidth="1"/>
    <col min="4" max="4" width="17.7109375" style="454" hidden="1" customWidth="1"/>
    <col min="5" max="5" width="13.7109375" style="453" hidden="1" customWidth="1"/>
    <col min="6" max="6" width="6.140625" style="453" hidden="1" customWidth="1"/>
    <col min="7" max="7" width="13.42578125" style="454" hidden="1" customWidth="1"/>
    <col min="8" max="8" width="10.7109375" style="454" hidden="1" customWidth="1"/>
    <col min="9" max="9" width="11.28515625" style="454" hidden="1" customWidth="1"/>
    <col min="10" max="10" width="13.140625" style="454" hidden="1" customWidth="1"/>
    <col min="11" max="11" width="13.28515625" style="454" hidden="1" customWidth="1"/>
    <col min="12" max="12" width="14.42578125" style="454" customWidth="1"/>
    <col min="13" max="13" width="13.42578125" style="454" customWidth="1"/>
    <col min="14" max="14" width="13.140625" style="454" customWidth="1"/>
    <col min="15" max="15" width="13.28515625" style="454" customWidth="1"/>
    <col min="16" max="16" width="12.7109375" style="454" customWidth="1"/>
    <col min="17" max="17" width="13.28515625" style="454" customWidth="1"/>
    <col min="18" max="19" width="13.42578125" style="454" customWidth="1"/>
    <col min="20" max="21" width="12.7109375" style="454" customWidth="1"/>
    <col min="22" max="22" width="12.42578125" style="454" bestFit="1" customWidth="1"/>
    <col min="23" max="16384" width="11.42578125" style="454"/>
  </cols>
  <sheetData>
    <row r="1" spans="1:22">
      <c r="B1" s="1097"/>
    </row>
    <row r="2" spans="1:22" ht="12.75">
      <c r="B2" s="1316" t="str">
        <f>+'Gastos Proyecciones'!B3:U3</f>
        <v>MUNICIPIO DE LA VEGA</v>
      </c>
      <c r="C2" s="1316"/>
      <c r="D2" s="1316"/>
      <c r="E2" s="1316"/>
      <c r="F2" s="1316"/>
      <c r="G2" s="1316"/>
      <c r="H2" s="1316"/>
      <c r="I2" s="1316"/>
      <c r="J2" s="1316"/>
      <c r="K2" s="1316"/>
      <c r="L2" s="1316"/>
      <c r="M2" s="1316"/>
      <c r="N2" s="1316"/>
      <c r="O2" s="1316"/>
      <c r="P2" s="1316"/>
      <c r="Q2" s="1316"/>
      <c r="R2" s="1316"/>
      <c r="S2" s="1316"/>
      <c r="T2" s="1316"/>
      <c r="U2" s="1316"/>
      <c r="V2" s="1316"/>
    </row>
    <row r="3" spans="1:22" ht="12.75">
      <c r="B3" s="1316" t="str">
        <f>+'Gastos Proyecciones'!B4:U4</f>
        <v>NIT. 891.500.997-6</v>
      </c>
      <c r="C3" s="1316"/>
      <c r="D3" s="1316"/>
      <c r="E3" s="1316"/>
      <c r="F3" s="1316"/>
      <c r="G3" s="1316"/>
      <c r="H3" s="1316"/>
      <c r="I3" s="1316"/>
      <c r="J3" s="1316"/>
      <c r="K3" s="1316"/>
      <c r="L3" s="1316"/>
      <c r="M3" s="1316"/>
      <c r="N3" s="1316"/>
      <c r="O3" s="1316"/>
      <c r="P3" s="1316"/>
      <c r="Q3" s="1316"/>
      <c r="R3" s="1316"/>
      <c r="S3" s="1316"/>
      <c r="T3" s="1316"/>
      <c r="U3" s="1316"/>
      <c r="V3" s="1316"/>
    </row>
    <row r="4" spans="1:22" ht="12.75">
      <c r="B4" s="1316" t="s">
        <v>534</v>
      </c>
      <c r="C4" s="1316"/>
      <c r="D4" s="1316"/>
      <c r="E4" s="1316"/>
      <c r="F4" s="1316"/>
      <c r="G4" s="1316"/>
      <c r="H4" s="1316"/>
      <c r="I4" s="1316"/>
      <c r="J4" s="1316"/>
      <c r="K4" s="1316"/>
      <c r="L4" s="1316"/>
      <c r="M4" s="1316"/>
      <c r="N4" s="1316"/>
      <c r="O4" s="1316"/>
      <c r="P4" s="1316"/>
      <c r="Q4" s="1316"/>
      <c r="R4" s="1316"/>
      <c r="S4" s="1316"/>
      <c r="T4" s="1316"/>
      <c r="U4" s="1316"/>
      <c r="V4" s="1316"/>
    </row>
    <row r="5" spans="1:22" ht="12.75">
      <c r="B5" s="1316" t="s">
        <v>1347</v>
      </c>
      <c r="C5" s="1316"/>
      <c r="D5" s="1316"/>
      <c r="E5" s="1316"/>
      <c r="F5" s="1316"/>
      <c r="G5" s="1316"/>
      <c r="H5" s="1316"/>
      <c r="I5" s="1316"/>
      <c r="J5" s="1316"/>
      <c r="K5" s="1316"/>
      <c r="L5" s="1316"/>
      <c r="M5" s="1316"/>
      <c r="N5" s="1316"/>
      <c r="O5" s="1316"/>
      <c r="P5" s="1316"/>
      <c r="Q5" s="1316"/>
      <c r="R5" s="1316"/>
      <c r="S5" s="1316"/>
      <c r="T5" s="1316"/>
      <c r="U5" s="1316"/>
      <c r="V5" s="1316"/>
    </row>
    <row r="6" spans="1:22" ht="12.75">
      <c r="B6" s="1317" t="s">
        <v>490</v>
      </c>
      <c r="C6" s="1317"/>
      <c r="D6" s="1317"/>
      <c r="E6" s="1317"/>
      <c r="F6" s="1317"/>
      <c r="G6" s="1317"/>
      <c r="H6" s="1317"/>
      <c r="I6" s="1317"/>
      <c r="J6" s="1317"/>
      <c r="K6" s="1317"/>
      <c r="L6" s="1317"/>
      <c r="M6" s="1317"/>
      <c r="N6" s="1317"/>
      <c r="O6" s="1317"/>
      <c r="P6" s="1317"/>
      <c r="Q6" s="1317"/>
      <c r="R6" s="1317"/>
      <c r="S6" s="1317"/>
      <c r="T6" s="1317"/>
      <c r="U6" s="1317"/>
      <c r="V6" s="1317"/>
    </row>
    <row r="7" spans="1:22" ht="12.75">
      <c r="B7" s="1316" t="s">
        <v>535</v>
      </c>
      <c r="C7" s="1316"/>
      <c r="D7" s="1316"/>
      <c r="E7" s="1316"/>
      <c r="F7" s="1316"/>
      <c r="G7" s="1316"/>
      <c r="H7" s="1316"/>
      <c r="I7" s="1316"/>
      <c r="J7" s="1316"/>
      <c r="K7" s="1316"/>
      <c r="L7" s="1316"/>
      <c r="M7" s="1316"/>
      <c r="N7" s="1316"/>
      <c r="O7" s="1316"/>
      <c r="P7" s="1316"/>
      <c r="Q7" s="1316"/>
      <c r="R7" s="1316"/>
      <c r="S7" s="1316"/>
      <c r="T7" s="1316"/>
      <c r="U7" s="1316"/>
      <c r="V7" s="1316"/>
    </row>
    <row r="8" spans="1:22" ht="12.75" thickBot="1">
      <c r="B8" s="878"/>
    </row>
    <row r="9" spans="1:22" ht="46.5" customHeight="1" thickBot="1">
      <c r="A9" s="278" t="s">
        <v>51</v>
      </c>
      <c r="B9" s="1098" t="s">
        <v>797</v>
      </c>
      <c r="C9" s="1080" t="str">
        <f>"Balance Financiero Ejecutado Año"&amp;" " &amp;Ingresos!$B$10</f>
        <v>Balance Financiero Ejecutado Año 2005</v>
      </c>
      <c r="D9" s="1081"/>
      <c r="E9" s="1080" t="s">
        <v>52</v>
      </c>
      <c r="F9" s="1076"/>
      <c r="G9" s="1080" t="str">
        <f>+'Ingresos Proyecciones'!H9</f>
        <v>Escenario Financiero Año 2007</v>
      </c>
      <c r="H9" s="1080" t="str">
        <f>+'Ingresos Proyecciones'!I9</f>
        <v>Escenario Financiero Año 2008</v>
      </c>
      <c r="I9" s="1080" t="str">
        <f>+'Ingresos Proyecciones'!J9</f>
        <v>Escenario Financiero Año 2009</v>
      </c>
      <c r="J9" s="1080" t="str">
        <f>+'Ingresos Proyecciones'!K9</f>
        <v>Escenario Financiero Año 2010</v>
      </c>
      <c r="K9" s="1080" t="str">
        <f>+'Ingresos Proyecciones'!L9</f>
        <v>Escenario Financiero Año 2011</v>
      </c>
      <c r="L9" s="1080" t="str">
        <f>+'Ingresos Proyecciones'!M9</f>
        <v>Escenario Financiero Año 2012</v>
      </c>
      <c r="M9" s="1080" t="str">
        <f>+'Ingresos Proyecciones'!N9</f>
        <v>Escenario Financiero Año 2013</v>
      </c>
      <c r="N9" s="1080" t="str">
        <f>+'Ingresos Proyecciones'!O9</f>
        <v>Escenario Financiero Año 2014</v>
      </c>
      <c r="O9" s="1080" t="str">
        <f>+'Ingresos Proyecciones'!P9</f>
        <v>Escenario Financiero Año 2015</v>
      </c>
      <c r="P9" s="1080" t="str">
        <f>+'Ingresos Proyecciones'!Q9</f>
        <v>Escenario Financiero Año 2016</v>
      </c>
      <c r="Q9" s="1080" t="str">
        <f>+'Ingresos Proyecciones'!R9</f>
        <v>Escenario Financiero Año 2017</v>
      </c>
      <c r="R9" s="1080" t="str">
        <f>+'Ingresos Proyecciones'!S9</f>
        <v>Escenario Financiero Año 2018</v>
      </c>
      <c r="S9" s="1080" t="str">
        <f>+'Ingresos Proyecciones'!T9</f>
        <v>Escenario Financiero Año 2019</v>
      </c>
      <c r="T9" s="1080" t="str">
        <f>+'Ingresos Proyecciones'!U9</f>
        <v>Escenario Financiero Año 2020</v>
      </c>
      <c r="U9" s="1080" t="str">
        <f>+'Ingresos Proyecciones'!V9</f>
        <v>Escenario Financiero Año 2021</v>
      </c>
      <c r="V9" s="1080" t="str">
        <f>+'Ingresos Proyecciones'!W9</f>
        <v>Escenario Financiero Año 2022</v>
      </c>
    </row>
    <row r="10" spans="1:22" ht="46.5" hidden="1" customHeight="1" thickBot="1">
      <c r="A10" s="278"/>
      <c r="B10" s="1098"/>
      <c r="C10" s="1080"/>
      <c r="D10" s="1081"/>
      <c r="E10" s="1080"/>
      <c r="F10" s="1076"/>
      <c r="G10" s="1080"/>
      <c r="H10" s="1080"/>
      <c r="I10" s="1080"/>
      <c r="J10" s="1080"/>
      <c r="K10" s="1080"/>
      <c r="L10" s="1080"/>
      <c r="M10" s="1080"/>
      <c r="N10" s="1080"/>
      <c r="O10" s="1080"/>
      <c r="P10" s="1080"/>
      <c r="Q10" s="1080"/>
      <c r="R10" s="1080"/>
      <c r="S10" s="1080"/>
      <c r="T10" s="1080"/>
      <c r="U10" s="1080"/>
      <c r="V10" s="1080"/>
    </row>
    <row r="11" spans="1:22">
      <c r="A11" s="1070" t="str">
        <f>+Ingresos!A27</f>
        <v>1</v>
      </c>
      <c r="B11" s="1109" t="s">
        <v>53</v>
      </c>
      <c r="C11" s="1077">
        <f>+C12+C51</f>
        <v>0</v>
      </c>
      <c r="D11" s="1076"/>
      <c r="E11" s="1081"/>
      <c r="F11" s="1076"/>
      <c r="G11" s="1077">
        <f t="shared" ref="G11:O11" si="0">+G12+G51</f>
        <v>5400742.3824000005</v>
      </c>
      <c r="H11" s="1077">
        <f t="shared" si="0"/>
        <v>5741239</v>
      </c>
      <c r="I11" s="1077">
        <f t="shared" si="0"/>
        <v>5672107.3600000003</v>
      </c>
      <c r="J11" s="1077">
        <f t="shared" si="0"/>
        <v>5898991.6543999994</v>
      </c>
      <c r="K11" s="1077">
        <f t="shared" si="0"/>
        <v>6134951.320576</v>
      </c>
      <c r="L11" s="1077">
        <f t="shared" si="0"/>
        <v>6428349.3726950409</v>
      </c>
      <c r="M11" s="1077">
        <f t="shared" si="0"/>
        <v>6685483.3476028424</v>
      </c>
      <c r="N11" s="1077">
        <f t="shared" si="0"/>
        <v>6952902.6815069569</v>
      </c>
      <c r="O11" s="1077">
        <f t="shared" si="0"/>
        <v>7231018.7887672344</v>
      </c>
      <c r="P11" s="1077">
        <f t="shared" ref="P11:U11" si="1">+P12+P51</f>
        <v>7520259.5403179247</v>
      </c>
      <c r="Q11" s="1077">
        <f t="shared" si="1"/>
        <v>7821069.9219306419</v>
      </c>
      <c r="R11" s="1077">
        <f t="shared" si="1"/>
        <v>8133912.7188078668</v>
      </c>
      <c r="S11" s="1077">
        <f t="shared" si="1"/>
        <v>8459269.227560183</v>
      </c>
      <c r="T11" s="1077">
        <f t="shared" si="1"/>
        <v>8797639.9966625907</v>
      </c>
      <c r="U11" s="1077">
        <f t="shared" si="1"/>
        <v>9149545.5965290926</v>
      </c>
      <c r="V11" s="1077">
        <f>+V12+V51</f>
        <v>9515527.4203902595</v>
      </c>
    </row>
    <row r="12" spans="1:22">
      <c r="A12" s="1071" t="str">
        <f>+Ingresos!A28</f>
        <v>11</v>
      </c>
      <c r="B12" s="1110" t="s">
        <v>54</v>
      </c>
      <c r="C12" s="1077">
        <f>+C13+C20+C23</f>
        <v>0</v>
      </c>
      <c r="D12" s="1082"/>
      <c r="E12" s="1083" t="e">
        <f>+C12/C86</f>
        <v>#DIV/0!</v>
      </c>
      <c r="F12" s="1076"/>
      <c r="G12" s="1077">
        <f t="shared" ref="G12:O12" si="2">+G13+G20+G23</f>
        <v>5372079.9824000001</v>
      </c>
      <c r="H12" s="1077">
        <f t="shared" si="2"/>
        <v>5740677</v>
      </c>
      <c r="I12" s="1077">
        <f t="shared" si="2"/>
        <v>5667107.3600000003</v>
      </c>
      <c r="J12" s="1077">
        <f t="shared" si="2"/>
        <v>5893791.6543999994</v>
      </c>
      <c r="K12" s="1077">
        <f t="shared" si="2"/>
        <v>6129543.320576</v>
      </c>
      <c r="L12" s="1077">
        <f t="shared" si="2"/>
        <v>6422724.3726950409</v>
      </c>
      <c r="M12" s="1077">
        <f t="shared" si="2"/>
        <v>6679633.3476028424</v>
      </c>
      <c r="N12" s="1077">
        <f t="shared" si="2"/>
        <v>6946818.6815069569</v>
      </c>
      <c r="O12" s="1077">
        <f t="shared" si="2"/>
        <v>7224691.4287672341</v>
      </c>
      <c r="P12" s="1077">
        <f t="shared" ref="P12:U12" si="3">+P13+P20+P23</f>
        <v>7513679.0859179245</v>
      </c>
      <c r="Q12" s="1077">
        <f t="shared" si="3"/>
        <v>7814226.2493546419</v>
      </c>
      <c r="R12" s="1077">
        <f t="shared" si="3"/>
        <v>8126795.2993288264</v>
      </c>
      <c r="S12" s="1077">
        <f t="shared" si="3"/>
        <v>8451867.1113019809</v>
      </c>
      <c r="T12" s="1077">
        <f t="shared" si="3"/>
        <v>8789941.7957540601</v>
      </c>
      <c r="U12" s="1077">
        <f t="shared" si="3"/>
        <v>9141539.4675842226</v>
      </c>
      <c r="V12" s="1077">
        <f>+V13+V20+V23</f>
        <v>9507201.0462875944</v>
      </c>
    </row>
    <row r="13" spans="1:22">
      <c r="A13" s="1071" t="str">
        <f>+Ingresos!A29</f>
        <v>111</v>
      </c>
      <c r="B13" s="1109" t="s">
        <v>55</v>
      </c>
      <c r="C13" s="1077">
        <f>SUM(C14:C19)</f>
        <v>0</v>
      </c>
      <c r="D13" s="1082"/>
      <c r="E13" s="1078" t="e">
        <f>+C13/C86</f>
        <v>#DIV/0!</v>
      </c>
      <c r="F13" s="1076"/>
      <c r="G13" s="1077">
        <f t="shared" ref="G13:O13" si="4">SUM(G14:G19)</f>
        <v>202886.66240000003</v>
      </c>
      <c r="H13" s="1077">
        <f t="shared" si="4"/>
        <v>212457</v>
      </c>
      <c r="I13" s="1077">
        <f t="shared" si="4"/>
        <v>400955.28</v>
      </c>
      <c r="J13" s="1077">
        <f t="shared" si="4"/>
        <v>416993.49119999999</v>
      </c>
      <c r="K13" s="1077">
        <f t="shared" si="4"/>
        <v>433673.23084800004</v>
      </c>
      <c r="L13" s="1077">
        <f t="shared" si="4"/>
        <v>260544.64008192002</v>
      </c>
      <c r="M13" s="1077">
        <f t="shared" si="4"/>
        <v>270966.42568519682</v>
      </c>
      <c r="N13" s="1077">
        <f t="shared" si="4"/>
        <v>281805.08271260472</v>
      </c>
      <c r="O13" s="1077">
        <f t="shared" si="4"/>
        <v>293077.28602110886</v>
      </c>
      <c r="P13" s="1077">
        <f t="shared" ref="P13:U13" si="5">SUM(P14:P19)</f>
        <v>304800.37746195326</v>
      </c>
      <c r="Q13" s="1077">
        <f t="shared" si="5"/>
        <v>316992.39256043138</v>
      </c>
      <c r="R13" s="1077">
        <f t="shared" si="5"/>
        <v>329672.08826284867</v>
      </c>
      <c r="S13" s="1077">
        <f t="shared" si="5"/>
        <v>342858.97179336258</v>
      </c>
      <c r="T13" s="1077">
        <f t="shared" si="5"/>
        <v>356573.33066509722</v>
      </c>
      <c r="U13" s="1077">
        <f t="shared" si="5"/>
        <v>370836.26389170112</v>
      </c>
      <c r="V13" s="1077">
        <f>SUM(V14:V19)</f>
        <v>385669.7144473691</v>
      </c>
    </row>
    <row r="14" spans="1:22" ht="22.5">
      <c r="A14" s="1072" t="str">
        <f>+Ingresos!A30</f>
        <v>1110103</v>
      </c>
      <c r="B14" s="1111" t="str">
        <f>+Ingresos!B30</f>
        <v xml:space="preserve">    Impuesto Predial Unificado (Incluye Compensación por predial de Resguardos Indigenas)</v>
      </c>
      <c r="C14" s="1084">
        <f>+Ingresos!H30</f>
        <v>0</v>
      </c>
      <c r="D14" s="1085"/>
      <c r="E14" s="1086" t="e">
        <f>+C14/C13</f>
        <v>#DIV/0!</v>
      </c>
      <c r="F14" s="1076"/>
      <c r="G14" s="1084">
        <f>+'Ingresos Proyecciones'!H14</f>
        <v>86528</v>
      </c>
      <c r="H14" s="1084">
        <f>+'Ingresos Proyecciones'!I14</f>
        <v>89989</v>
      </c>
      <c r="I14" s="1084">
        <f>+'Ingresos Proyecciones'!J14</f>
        <v>93588.56</v>
      </c>
      <c r="J14" s="1084">
        <f>+'Ingresos Proyecciones'!K14</f>
        <v>97332.102400000003</v>
      </c>
      <c r="K14" s="1084">
        <f>+'Ingresos Proyecciones'!L14</f>
        <v>101225.38649600001</v>
      </c>
      <c r="L14" s="1084">
        <f>+'Ingresos Proyecciones'!M14</f>
        <v>105274.40195584</v>
      </c>
      <c r="M14" s="1084">
        <f>+'Ingresos Proyecciones'!N14</f>
        <v>109485.37803407361</v>
      </c>
      <c r="N14" s="1084">
        <f>+'Ingresos Proyecciones'!O14</f>
        <v>113864.79315543656</v>
      </c>
      <c r="O14" s="1084">
        <f>+'Ingresos Proyecciones'!P14</f>
        <v>118419.38488165403</v>
      </c>
      <c r="P14" s="1084">
        <f>+'Ingresos Proyecciones'!Q14</f>
        <v>123156.16027692019</v>
      </c>
      <c r="Q14" s="1084">
        <f>+'Ingresos Proyecciones'!R14</f>
        <v>128082.40668799699</v>
      </c>
      <c r="R14" s="1084">
        <f>+'Ingresos Proyecciones'!S14</f>
        <v>133205.70295551687</v>
      </c>
      <c r="S14" s="1084">
        <f>+'Ingresos Proyecciones'!T14</f>
        <v>138533.93107373756</v>
      </c>
      <c r="T14" s="1084">
        <f>+'Ingresos Proyecciones'!U14</f>
        <v>144075.28831668707</v>
      </c>
      <c r="U14" s="1084">
        <f>+'Ingresos Proyecciones'!V14</f>
        <v>149838.29984935457</v>
      </c>
      <c r="V14" s="1084">
        <f>+'Ingresos Proyecciones'!W14</f>
        <v>155831.83184332875</v>
      </c>
    </row>
    <row r="15" spans="1:22">
      <c r="A15" s="1072" t="str">
        <f>+Ingresos!A32</f>
        <v>307A</v>
      </c>
      <c r="B15" s="1111" t="str">
        <f>+Ingresos!B32</f>
        <v xml:space="preserve">    Impuesto de Circulación y Tránsito Servicio Público</v>
      </c>
      <c r="C15" s="1084">
        <f>+Ingresos!H32</f>
        <v>0</v>
      </c>
      <c r="D15" s="1085"/>
      <c r="E15" s="1086" t="e">
        <f>+C15/C13</f>
        <v>#DIV/0!</v>
      </c>
      <c r="F15" s="1076"/>
      <c r="G15" s="1084">
        <f>+'Ingresos Proyecciones'!H16</f>
        <v>2163.1999999999998</v>
      </c>
      <c r="H15" s="1084">
        <f>+'Ingresos Proyecciones'!I16</f>
        <v>2250</v>
      </c>
      <c r="I15" s="1084">
        <f>+'Ingresos Proyecciones'!J16</f>
        <v>2340</v>
      </c>
      <c r="J15" s="1084">
        <f>+'Ingresos Proyecciones'!K16</f>
        <v>2433.6</v>
      </c>
      <c r="K15" s="1084">
        <f>+'Ingresos Proyecciones'!L16</f>
        <v>2530.944</v>
      </c>
      <c r="L15" s="1084">
        <f>+'Ingresos Proyecciones'!M16</f>
        <v>2632.1817599999999</v>
      </c>
      <c r="M15" s="1084">
        <f>+'Ingresos Proyecciones'!N16</f>
        <v>2737.4690304000001</v>
      </c>
      <c r="N15" s="1084">
        <f>+'Ingresos Proyecciones'!O16</f>
        <v>2846.9677916160003</v>
      </c>
      <c r="O15" s="1084">
        <f>+'Ingresos Proyecciones'!P16</f>
        <v>2960.8465032806403</v>
      </c>
      <c r="P15" s="1084">
        <f>+'Ingresos Proyecciones'!Q16</f>
        <v>3079.2803634118659</v>
      </c>
      <c r="Q15" s="1084">
        <f>+'Ingresos Proyecciones'!R16</f>
        <v>3202.4515779483409</v>
      </c>
      <c r="R15" s="1084">
        <f>+'Ingresos Proyecciones'!S16</f>
        <v>3330.5496410662745</v>
      </c>
      <c r="S15" s="1084">
        <f>+'Ingresos Proyecciones'!T16</f>
        <v>3463.7716267089254</v>
      </c>
      <c r="T15" s="1084">
        <f>+'Ingresos Proyecciones'!U16</f>
        <v>3602.3224917772827</v>
      </c>
      <c r="U15" s="1084">
        <f>+'Ingresos Proyecciones'!V16</f>
        <v>3746.4153914483741</v>
      </c>
      <c r="V15" s="1084">
        <f>+'Ingresos Proyecciones'!W16</f>
        <v>3896.272007106309</v>
      </c>
    </row>
    <row r="16" spans="1:22" ht="12.75" customHeight="1">
      <c r="A16" s="1072"/>
      <c r="B16" s="1111" t="s">
        <v>658</v>
      </c>
      <c r="C16" s="1084"/>
      <c r="D16" s="1085"/>
      <c r="E16" s="1086"/>
      <c r="F16" s="1076"/>
      <c r="G16" s="1084"/>
      <c r="H16" s="1084">
        <f>+'Ingresos Proyecciones'!I24</f>
        <v>7874</v>
      </c>
      <c r="I16" s="1084">
        <f>+'Ingresos Proyecciones'!J24</f>
        <v>8188.96</v>
      </c>
      <c r="J16" s="1084">
        <f>+'Ingresos Proyecciones'!K24</f>
        <v>8516.5184000000008</v>
      </c>
      <c r="K16" s="1084">
        <f>+'Ingresos Proyecciones'!L24</f>
        <v>8857.1791360000007</v>
      </c>
      <c r="L16" s="1084">
        <f>+'Ingresos Proyecciones'!M24</f>
        <v>9211.4663014400012</v>
      </c>
      <c r="M16" s="1084">
        <f>+'Ingresos Proyecciones'!N24</f>
        <v>9579.9249534976007</v>
      </c>
      <c r="N16" s="1084">
        <f>+'Ingresos Proyecciones'!O24</f>
        <v>9963.1219516375058</v>
      </c>
      <c r="O16" s="1084">
        <f>+'Ingresos Proyecciones'!P24</f>
        <v>10361.646829703006</v>
      </c>
      <c r="P16" s="1084">
        <f>+'Ingresos Proyecciones'!Q24</f>
        <v>10776.112702891127</v>
      </c>
      <c r="Q16" s="1084">
        <f>+'Ingresos Proyecciones'!R24</f>
        <v>11207.157211006772</v>
      </c>
      <c r="R16" s="1084">
        <f>+'Ingresos Proyecciones'!S24</f>
        <v>11655.443499447043</v>
      </c>
      <c r="S16" s="1084">
        <f>+'Ingresos Proyecciones'!T24</f>
        <v>12121.661239424926</v>
      </c>
      <c r="T16" s="1084">
        <f>+'Ingresos Proyecciones'!U24</f>
        <v>12606.527689001923</v>
      </c>
      <c r="U16" s="1084">
        <f>+'Ingresos Proyecciones'!V24</f>
        <v>13110.788796562001</v>
      </c>
      <c r="V16" s="1084">
        <f>+'Ingresos Proyecciones'!W24</f>
        <v>13635.220348424482</v>
      </c>
    </row>
    <row r="17" spans="1:22">
      <c r="A17" s="1072" t="str">
        <f>+Ingresos!A33</f>
        <v>1110205</v>
      </c>
      <c r="B17" s="1111" t="str">
        <f>+Ingresos!B33</f>
        <v xml:space="preserve">    Impuesto de Industria y Comercio</v>
      </c>
      <c r="C17" s="1084">
        <f>+Ingresos!H33</f>
        <v>0</v>
      </c>
      <c r="D17" s="1082"/>
      <c r="E17" s="1086" t="e">
        <f>+C17/C13</f>
        <v>#DIV/0!</v>
      </c>
      <c r="F17" s="1076"/>
      <c r="G17" s="1084">
        <f>+'Ingresos Proyecciones'!H17</f>
        <v>48672</v>
      </c>
      <c r="H17" s="1084">
        <f>+'Ingresos Proyecciones'!I17</f>
        <v>65000</v>
      </c>
      <c r="I17" s="1084">
        <f>+'Ingresos Proyecciones'!J17</f>
        <v>67600</v>
      </c>
      <c r="J17" s="1084">
        <f>+'Ingresos Proyecciones'!K17</f>
        <v>70304</v>
      </c>
      <c r="K17" s="1084">
        <f>+'Ingresos Proyecciones'!L17</f>
        <v>73116.160000000003</v>
      </c>
      <c r="L17" s="1084">
        <f>+'Ingresos Proyecciones'!M17</f>
        <v>76040.806400000001</v>
      </c>
      <c r="M17" s="1084">
        <f>+'Ingresos Proyecciones'!N17</f>
        <v>79082.438655999998</v>
      </c>
      <c r="N17" s="1084">
        <f>+'Ingresos Proyecciones'!O17</f>
        <v>82245.736202240005</v>
      </c>
      <c r="O17" s="1084">
        <f>+'Ingresos Proyecciones'!P17</f>
        <v>85535.565650329605</v>
      </c>
      <c r="P17" s="1084">
        <f>+'Ingresos Proyecciones'!Q17</f>
        <v>88956.988276342789</v>
      </c>
      <c r="Q17" s="1084">
        <f>+'Ingresos Proyecciones'!R17</f>
        <v>92515.267807396507</v>
      </c>
      <c r="R17" s="1084">
        <f>+'Ingresos Proyecciones'!S17</f>
        <v>96215.878519692371</v>
      </c>
      <c r="S17" s="1084">
        <f>+'Ingresos Proyecciones'!T17</f>
        <v>100064.51366048006</v>
      </c>
      <c r="T17" s="1084">
        <f>+'Ingresos Proyecciones'!U17</f>
        <v>104067.09420689927</v>
      </c>
      <c r="U17" s="1084">
        <f>+'Ingresos Proyecciones'!V17</f>
        <v>108229.77797517525</v>
      </c>
      <c r="V17" s="1084">
        <f>+'Ingresos Proyecciones'!W17</f>
        <v>112558.96909418226</v>
      </c>
    </row>
    <row r="18" spans="1:22" ht="11.25" customHeight="1">
      <c r="A18" s="1072" t="str">
        <f>+Ingresos!A34</f>
        <v>1110216</v>
      </c>
      <c r="B18" s="1111" t="str">
        <f>+Ingresos!B34</f>
        <v xml:space="preserve">    Sobretasa a la Gasolina</v>
      </c>
      <c r="C18" s="1084">
        <f>+Ingresos!H34</f>
        <v>0</v>
      </c>
      <c r="D18" s="1082"/>
      <c r="E18" s="1086" t="e">
        <f>+C18/C13</f>
        <v>#DIV/0!</v>
      </c>
      <c r="F18" s="1076"/>
      <c r="G18" s="1084">
        <f>+'Ingresos Proyecciones'!H18</f>
        <v>20000</v>
      </c>
      <c r="H18" s="1084">
        <f>+'Ingresos Proyecciones'!I18</f>
        <v>0</v>
      </c>
      <c r="I18" s="1084">
        <f>+'Ingresos Proyecciones'!J18</f>
        <v>0</v>
      </c>
      <c r="J18" s="1084">
        <f>+'Ingresos Proyecciones'!K18</f>
        <v>0</v>
      </c>
      <c r="K18" s="1084">
        <f>+'Ingresos Proyecciones'!L18</f>
        <v>0</v>
      </c>
      <c r="L18" s="1084">
        <f>+'Ingresos Proyecciones'!M18</f>
        <v>12000</v>
      </c>
      <c r="M18" s="1084">
        <f>+'Ingresos Proyecciones'!N18</f>
        <v>12480</v>
      </c>
      <c r="N18" s="1084">
        <f>+'Ingresos Proyecciones'!O18</f>
        <v>12979.2</v>
      </c>
      <c r="O18" s="1084">
        <f>+'Ingresos Proyecciones'!P18</f>
        <v>13498.368</v>
      </c>
      <c r="P18" s="1084">
        <f>+'Ingresos Proyecciones'!Q18</f>
        <v>14038.302720000002</v>
      </c>
      <c r="Q18" s="1084">
        <f>+'Ingresos Proyecciones'!R18</f>
        <v>14599.834828800002</v>
      </c>
      <c r="R18" s="1084">
        <f>+'Ingresos Proyecciones'!S18</f>
        <v>15183.828221952002</v>
      </c>
      <c r="S18" s="1084">
        <f>+'Ingresos Proyecciones'!T18</f>
        <v>15791.181350830084</v>
      </c>
      <c r="T18" s="1084">
        <f>+'Ingresos Proyecciones'!U18</f>
        <v>16422.828604863287</v>
      </c>
      <c r="U18" s="1084">
        <f>+'Ingresos Proyecciones'!V18</f>
        <v>17079.741749057819</v>
      </c>
      <c r="V18" s="1084">
        <f>+'Ingresos Proyecciones'!W18</f>
        <v>17762.931419020133</v>
      </c>
    </row>
    <row r="19" spans="1:22">
      <c r="A19" s="1072" t="str">
        <f>+Ingresos!A49</f>
        <v>308A</v>
      </c>
      <c r="B19" s="1109" t="s">
        <v>56</v>
      </c>
      <c r="C19" s="1084">
        <f>+Ingresos!H31+Ingresos!H35+Ingresos!H36+Ingresos!H37+Ingresos!H38+Ingresos!H39+Ingresos!H40+Ingresos!H41+Ingresos!H42+Ingresos!H48+Ingresos!H49</f>
        <v>0</v>
      </c>
      <c r="D19" s="1082"/>
      <c r="E19" s="1086" t="e">
        <f>+C19/C13</f>
        <v>#DIV/0!</v>
      </c>
      <c r="F19" s="1076"/>
      <c r="G19" s="1084">
        <f>+'Ingresos Proyecciones'!H15+'Ingresos Proyecciones'!H19+'Ingresos Proyecciones'!H20+'Ingresos Proyecciones'!H21+'Ingresos Proyecciones'!H22+'Ingresos Proyecciones'!H23+'Ingresos Proyecciones'!H25+'Ingresos Proyecciones'!H26+'Ingresos Proyecciones'!H27+'Ingresos Proyecciones'!H33+'Ingresos Proyecciones'!H34</f>
        <v>45523.462400000004</v>
      </c>
      <c r="H19" s="1084">
        <f>+'Ingresos Proyecciones'!I15+'Ingresos Proyecciones'!I19+'Ingresos Proyecciones'!I20+'Ingresos Proyecciones'!I21+'Ingresos Proyecciones'!I22+'Ingresos Proyecciones'!I23+'Ingresos Proyecciones'!I25+'Ingresos Proyecciones'!I26+'Ingresos Proyecciones'!I27+'Ingresos Proyecciones'!I33+'Ingresos Proyecciones'!I34</f>
        <v>47344</v>
      </c>
      <c r="I19" s="1084">
        <f>+'Ingresos Proyecciones'!J15+'Ingresos Proyecciones'!J19+'Ingresos Proyecciones'!J20+'Ingresos Proyecciones'!J21+'Ingresos Proyecciones'!J22+'Ingresos Proyecciones'!J23+'Ingresos Proyecciones'!J25+'Ingresos Proyecciones'!J26+'Ingresos Proyecciones'!J27+'Ingresos Proyecciones'!J33+'Ingresos Proyecciones'!J34</f>
        <v>229237.76000000001</v>
      </c>
      <c r="J19" s="1084">
        <f>+'Ingresos Proyecciones'!K15+'Ingresos Proyecciones'!K19+'Ingresos Proyecciones'!K20+'Ingresos Proyecciones'!K21+'Ingresos Proyecciones'!K22+'Ingresos Proyecciones'!K23+'Ingresos Proyecciones'!K25+'Ingresos Proyecciones'!K26+'Ingresos Proyecciones'!K27+'Ingresos Proyecciones'!K33+'Ingresos Proyecciones'!K34</f>
        <v>238407.27039999998</v>
      </c>
      <c r="K19" s="1084">
        <f>+'Ingresos Proyecciones'!L15+'Ingresos Proyecciones'!L19+'Ingresos Proyecciones'!L20+'Ingresos Proyecciones'!L21+'Ingresos Proyecciones'!L22+'Ingresos Proyecciones'!L23+'Ingresos Proyecciones'!L25+'Ingresos Proyecciones'!L26+'Ingresos Proyecciones'!L27+'Ingresos Proyecciones'!L33+'Ingresos Proyecciones'!L34</f>
        <v>247943.561216</v>
      </c>
      <c r="L19" s="1084">
        <f>+'Ingresos Proyecciones'!M15+'Ingresos Proyecciones'!M19+'Ingresos Proyecciones'!M20+'Ingresos Proyecciones'!M21+'Ingresos Proyecciones'!M22+'Ingresos Proyecciones'!M23+'Ingresos Proyecciones'!M25+'Ingresos Proyecciones'!M26+'Ingresos Proyecciones'!M27+'Ingresos Proyecciones'!M33+'Ingresos Proyecciones'!M34</f>
        <v>55385.78366464001</v>
      </c>
      <c r="M19" s="1084">
        <f>+'Ingresos Proyecciones'!N15+'Ingresos Proyecciones'!N19+'Ingresos Proyecciones'!N20+'Ingresos Proyecciones'!N21+'Ingresos Proyecciones'!N22+'Ingresos Proyecciones'!N23+'Ingresos Proyecciones'!N25+'Ingresos Proyecciones'!N26+'Ingresos Proyecciones'!N27+'Ingresos Proyecciones'!N33+'Ingresos Proyecciones'!N34</f>
        <v>57601.215011225606</v>
      </c>
      <c r="N19" s="1084">
        <f>+'Ingresos Proyecciones'!O15+'Ingresos Proyecciones'!O19+'Ingresos Proyecciones'!O20+'Ingresos Proyecciones'!O21+'Ingresos Proyecciones'!O22+'Ingresos Proyecciones'!O23+'Ingresos Proyecciones'!O25+'Ingresos Proyecciones'!O26+'Ingresos Proyecciones'!O27+'Ingresos Proyecciones'!O33+'Ingresos Proyecciones'!O34</f>
        <v>59905.263611674636</v>
      </c>
      <c r="O19" s="1084">
        <f>+'Ingresos Proyecciones'!P15+'Ingresos Proyecciones'!P19+'Ingresos Proyecciones'!P20+'Ingresos Proyecciones'!P21+'Ingresos Proyecciones'!P22+'Ingresos Proyecciones'!P23+'Ingresos Proyecciones'!P25+'Ingresos Proyecciones'!P26+'Ingresos Proyecciones'!P27+'Ingresos Proyecciones'!P33+'Ingresos Proyecciones'!P34</f>
        <v>62301.47415614163</v>
      </c>
      <c r="P19" s="1084">
        <f>+'Ingresos Proyecciones'!Q15+'Ingresos Proyecciones'!Q19+'Ingresos Proyecciones'!Q20+'Ingresos Proyecciones'!Q21+'Ingresos Proyecciones'!Q22+'Ingresos Proyecciones'!Q23+'Ingresos Proyecciones'!Q25+'Ingresos Proyecciones'!Q26+'Ingresos Proyecciones'!Q27+'Ingresos Proyecciones'!Q33+'Ingresos Proyecciones'!Q34</f>
        <v>64793.533122387293</v>
      </c>
      <c r="Q19" s="1084">
        <f>+'Ingresos Proyecciones'!R15+'Ingresos Proyecciones'!R19+'Ingresos Proyecciones'!R20+'Ingresos Proyecciones'!R21+'Ingresos Proyecciones'!R22+'Ingresos Proyecciones'!R23+'Ingresos Proyecciones'!R25+'Ingresos Proyecciones'!R26+'Ingresos Proyecciones'!R27+'Ingresos Proyecciones'!R33+'Ingresos Proyecciones'!R34</f>
        <v>67385.274447282776</v>
      </c>
      <c r="R19" s="1084">
        <f>+'Ingresos Proyecciones'!S15+'Ingresos Proyecciones'!S19+'Ingresos Proyecciones'!S20+'Ingresos Proyecciones'!S21+'Ingresos Proyecciones'!S22+'Ingresos Proyecciones'!S23+'Ingresos Proyecciones'!S25+'Ingresos Proyecciones'!S26+'Ingresos Proyecciones'!S27+'Ingresos Proyecciones'!S33+'Ingresos Proyecciones'!S34</f>
        <v>70080.685425174102</v>
      </c>
      <c r="S19" s="1084">
        <f>+'Ingresos Proyecciones'!T15+'Ingresos Proyecciones'!T19+'Ingresos Proyecciones'!T20+'Ingresos Proyecciones'!T21+'Ingresos Proyecciones'!T22+'Ingresos Proyecciones'!T23+'Ingresos Proyecciones'!T25+'Ingresos Proyecciones'!T26+'Ingresos Proyecciones'!T27+'Ingresos Proyecciones'!T33+'Ingresos Proyecciones'!T34</f>
        <v>72883.91284218106</v>
      </c>
      <c r="T19" s="1084">
        <f>+'Ingresos Proyecciones'!U15+'Ingresos Proyecciones'!U19+'Ingresos Proyecciones'!U20+'Ingresos Proyecciones'!U21+'Ingresos Proyecciones'!U22+'Ingresos Proyecciones'!U23+'Ingresos Proyecciones'!U25+'Ingresos Proyecciones'!U26+'Ingresos Proyecciones'!U27+'Ingresos Proyecciones'!U33+'Ingresos Proyecciones'!U34</f>
        <v>75799.26935586831</v>
      </c>
      <c r="U19" s="1084">
        <f>+'Ingresos Proyecciones'!V15+'Ingresos Proyecciones'!V19+'Ingresos Proyecciones'!V20+'Ingresos Proyecciones'!V21+'Ingresos Proyecciones'!V22+'Ingresos Proyecciones'!V23+'Ingresos Proyecciones'!V25+'Ingresos Proyecciones'!V26+'Ingresos Proyecciones'!V27+'Ingresos Proyecciones'!V33+'Ingresos Proyecciones'!V34</f>
        <v>78831.240130103048</v>
      </c>
      <c r="V19" s="1084">
        <f>+'Ingresos Proyecciones'!W15+'Ingresos Proyecciones'!W19+'Ingresos Proyecciones'!W20+'Ingresos Proyecciones'!W21+'Ingresos Proyecciones'!W22+'Ingresos Proyecciones'!W23+'Ingresos Proyecciones'!W25+'Ingresos Proyecciones'!W26+'Ingresos Proyecciones'!W27+'Ingresos Proyecciones'!W33+'Ingresos Proyecciones'!W34</f>
        <v>81984.489735307157</v>
      </c>
    </row>
    <row r="20" spans="1:22">
      <c r="A20" s="1071" t="str">
        <f>+Ingresos!A50</f>
        <v>112</v>
      </c>
      <c r="B20" s="1110" t="s">
        <v>57</v>
      </c>
      <c r="C20" s="1077">
        <f>SUM(C21:C22)</f>
        <v>0</v>
      </c>
      <c r="D20" s="1082"/>
      <c r="E20" s="1078" t="e">
        <f>+C20/C86</f>
        <v>#DIV/0!</v>
      </c>
      <c r="F20" s="1076"/>
      <c r="G20" s="1077">
        <f t="shared" ref="G20:O20" si="6">SUM(G21:G22)</f>
        <v>71061.119999999995</v>
      </c>
      <c r="H20" s="1077">
        <f t="shared" si="6"/>
        <v>73903</v>
      </c>
      <c r="I20" s="1077">
        <f t="shared" si="6"/>
        <v>30064.120000000003</v>
      </c>
      <c r="J20" s="1077">
        <f t="shared" si="6"/>
        <v>31266.684800000003</v>
      </c>
      <c r="K20" s="1077">
        <f t="shared" si="6"/>
        <v>32517.352192000006</v>
      </c>
      <c r="L20" s="1077">
        <f t="shared" si="6"/>
        <v>236293.04627968001</v>
      </c>
      <c r="M20" s="1077">
        <f t="shared" si="6"/>
        <v>245744.76813086722</v>
      </c>
      <c r="N20" s="1077">
        <f t="shared" si="6"/>
        <v>255574.55885610191</v>
      </c>
      <c r="O20" s="1077">
        <f t="shared" si="6"/>
        <v>265797.54121034598</v>
      </c>
      <c r="P20" s="1077">
        <f t="shared" ref="P20:U20" si="7">SUM(P21:P22)</f>
        <v>276429.44285875984</v>
      </c>
      <c r="Q20" s="1077">
        <f t="shared" si="7"/>
        <v>287486.62057311024</v>
      </c>
      <c r="R20" s="1077">
        <f t="shared" si="7"/>
        <v>298986.08539603464</v>
      </c>
      <c r="S20" s="1077">
        <f t="shared" si="7"/>
        <v>310945.52881187602</v>
      </c>
      <c r="T20" s="1077">
        <f t="shared" si="7"/>
        <v>323383.34996435104</v>
      </c>
      <c r="U20" s="1077">
        <f t="shared" si="7"/>
        <v>336318.6839629251</v>
      </c>
      <c r="V20" s="1077">
        <f>SUM(V21:V22)</f>
        <v>349771.43132144219</v>
      </c>
    </row>
    <row r="21" spans="1:22" ht="22.5">
      <c r="A21" s="369" t="s">
        <v>58</v>
      </c>
      <c r="B21" s="1101" t="s">
        <v>59</v>
      </c>
      <c r="C21" s="1084">
        <f>+Ingresos!H51+Ingresos!H52+Ingresos!H53+Ingresos!H54</f>
        <v>0</v>
      </c>
      <c r="D21" s="1082"/>
      <c r="E21" s="1086" t="e">
        <f>+C21/C20</f>
        <v>#DIV/0!</v>
      </c>
      <c r="F21" s="1076"/>
      <c r="G21" s="1084">
        <f>+'Ingresos Proyecciones'!H36+'Ingresos Proyecciones'!H37+'Ingresos Proyecciones'!H38+'Ingresos Proyecciones'!H39</f>
        <v>71061.119999999995</v>
      </c>
      <c r="H21" s="1084">
        <f>+'Ingresos Proyecciones'!I36+'Ingresos Proyecciones'!I37+'Ingresos Proyecciones'!I38+'Ingresos Proyecciones'!I39</f>
        <v>73903</v>
      </c>
      <c r="I21" s="1084">
        <f>+'Ingresos Proyecciones'!J36+'Ingresos Proyecciones'!J37+'Ingresos Proyecciones'!J38+'Ingresos Proyecciones'!J39</f>
        <v>30064.120000000003</v>
      </c>
      <c r="J21" s="1084">
        <f>+'Ingresos Proyecciones'!K36+'Ingresos Proyecciones'!K37+'Ingresos Proyecciones'!K38+'Ingresos Proyecciones'!K39</f>
        <v>31266.684800000003</v>
      </c>
      <c r="K21" s="1084">
        <f>+'Ingresos Proyecciones'!L36+'Ingresos Proyecciones'!L37+'Ingresos Proyecciones'!L38+'Ingresos Proyecciones'!L39</f>
        <v>32517.352192000006</v>
      </c>
      <c r="L21" s="1084">
        <f>+'Ingresos Proyecciones'!M36+'Ingresos Proyecciones'!M37+'Ingresos Proyecciones'!M38+'Ingresos Proyecciones'!M39</f>
        <v>33818.046279680006</v>
      </c>
      <c r="M21" s="1084">
        <f>+'Ingresos Proyecciones'!N36+'Ingresos Proyecciones'!N37+'Ingresos Proyecciones'!N38+'Ingresos Proyecciones'!N39</f>
        <v>35170.768130867211</v>
      </c>
      <c r="N21" s="1084">
        <f>+'Ingresos Proyecciones'!O36+'Ingresos Proyecciones'!O37+'Ingresos Proyecciones'!O38+'Ingresos Proyecciones'!O39</f>
        <v>36577.598856101897</v>
      </c>
      <c r="O21" s="1084">
        <f>+'Ingresos Proyecciones'!P36+'Ingresos Proyecciones'!P37+'Ingresos Proyecciones'!P38+'Ingresos Proyecciones'!P39</f>
        <v>38040.702810345974</v>
      </c>
      <c r="P21" s="1084">
        <f>+'Ingresos Proyecciones'!Q36+'Ingresos Proyecciones'!Q37+'Ingresos Proyecciones'!Q38+'Ingresos Proyecciones'!Q39</f>
        <v>39562.330922759815</v>
      </c>
      <c r="Q21" s="1084">
        <f>+'Ingresos Proyecciones'!R36+'Ingresos Proyecciones'!R37+'Ingresos Proyecciones'!R38+'Ingresos Proyecciones'!R39</f>
        <v>41144.824159670206</v>
      </c>
      <c r="R21" s="1084">
        <f>+'Ingresos Proyecciones'!S36+'Ingresos Proyecciones'!S37+'Ingresos Proyecciones'!S38+'Ingresos Proyecciones'!S39</f>
        <v>42790.617126057019</v>
      </c>
      <c r="S21" s="1084">
        <f>+'Ingresos Proyecciones'!T36+'Ingresos Proyecciones'!T37+'Ingresos Proyecciones'!T38+'Ingresos Proyecciones'!T39</f>
        <v>44502.241811099302</v>
      </c>
      <c r="T21" s="1084">
        <f>+'Ingresos Proyecciones'!U36+'Ingresos Proyecciones'!U37+'Ingresos Proyecciones'!U38+'Ingresos Proyecciones'!U39</f>
        <v>46282.331483543283</v>
      </c>
      <c r="U21" s="1084">
        <f>+'Ingresos Proyecciones'!V36+'Ingresos Proyecciones'!V37+'Ingresos Proyecciones'!V38+'Ingresos Proyecciones'!V39</f>
        <v>48133.624742885018</v>
      </c>
      <c r="V21" s="1084">
        <f>+'Ingresos Proyecciones'!W36+'Ingresos Proyecciones'!W37+'Ingresos Proyecciones'!W38+'Ingresos Proyecciones'!W39</f>
        <v>50058.969732600424</v>
      </c>
    </row>
    <row r="22" spans="1:22" ht="22.5" hidden="1">
      <c r="A22" s="1072" t="str">
        <f>+Ingresos!A86</f>
        <v>11298</v>
      </c>
      <c r="B22" s="1101" t="s">
        <v>60</v>
      </c>
      <c r="C22" s="1084">
        <f>+Ingresos!H82+Ingresos!H86</f>
        <v>0</v>
      </c>
      <c r="D22" s="1082"/>
      <c r="E22" s="1086" t="e">
        <f>+C22/C20</f>
        <v>#DIV/0!</v>
      </c>
      <c r="F22" s="1076"/>
      <c r="G22" s="1084">
        <f>+'Ingresos Proyecciones'!H74+'Ingresos Proyecciones'!H78</f>
        <v>0</v>
      </c>
      <c r="H22" s="1084">
        <f>+'Ingresos Proyecciones'!I74+'Ingresos Proyecciones'!I78</f>
        <v>0</v>
      </c>
      <c r="I22" s="1084">
        <f>+'Ingresos Proyecciones'!J74+'Ingresos Proyecciones'!J78</f>
        <v>0</v>
      </c>
      <c r="J22" s="1084">
        <f>+'Ingresos Proyecciones'!K74+'Ingresos Proyecciones'!K78</f>
        <v>0</v>
      </c>
      <c r="K22" s="1084">
        <f>+'Ingresos Proyecciones'!L74+'Ingresos Proyecciones'!L78</f>
        <v>0</v>
      </c>
      <c r="L22" s="1084">
        <f>+'Ingresos Proyecciones'!M74+'Ingresos Proyecciones'!M78</f>
        <v>202475</v>
      </c>
      <c r="M22" s="1084">
        <f>+'Ingresos Proyecciones'!N74+'Ingresos Proyecciones'!N78</f>
        <v>210574</v>
      </c>
      <c r="N22" s="1084">
        <f>+'Ingresos Proyecciones'!O74+'Ingresos Proyecciones'!O78</f>
        <v>218996.96000000002</v>
      </c>
      <c r="O22" s="1084">
        <f>+'Ingresos Proyecciones'!P74+'Ingresos Proyecciones'!P78</f>
        <v>227756.83840000001</v>
      </c>
      <c r="P22" s="1084">
        <f>+'Ingresos Proyecciones'!Q74+'Ingresos Proyecciones'!Q78</f>
        <v>236867.111936</v>
      </c>
      <c r="Q22" s="1084">
        <f>+'Ingresos Proyecciones'!R74+'Ingresos Proyecciones'!R78</f>
        <v>246341.79641344002</v>
      </c>
      <c r="R22" s="1084">
        <f>+'Ingresos Proyecciones'!S74+'Ingresos Proyecciones'!S78</f>
        <v>256195.4682699776</v>
      </c>
      <c r="S22" s="1084">
        <f>+'Ingresos Proyecciones'!T74+'Ingresos Proyecciones'!T78</f>
        <v>266443.28700077673</v>
      </c>
      <c r="T22" s="1084">
        <f>+'Ingresos Proyecciones'!U74+'Ingresos Proyecciones'!U78</f>
        <v>277101.01848080778</v>
      </c>
      <c r="U22" s="1084">
        <f>+'Ingresos Proyecciones'!V74+'Ingresos Proyecciones'!V78</f>
        <v>288185.0592200401</v>
      </c>
      <c r="V22" s="1084">
        <f>+'Ingresos Proyecciones'!W74+'Ingresos Proyecciones'!W78</f>
        <v>299712.46158884175</v>
      </c>
    </row>
    <row r="23" spans="1:22">
      <c r="A23" s="1071" t="str">
        <f>+Ingresos!A57</f>
        <v>11205</v>
      </c>
      <c r="B23" s="1110" t="s">
        <v>61</v>
      </c>
      <c r="C23" s="1077">
        <f>+C24+C25+C30</f>
        <v>0</v>
      </c>
      <c r="D23" s="1087"/>
      <c r="E23" s="1078" t="e">
        <f>+C23/C86</f>
        <v>#DIV/0!</v>
      </c>
      <c r="F23" s="1076"/>
      <c r="G23" s="1077">
        <f t="shared" ref="G23:O23" si="8">+G24+G25+G30</f>
        <v>5098132.2</v>
      </c>
      <c r="H23" s="1077">
        <f t="shared" si="8"/>
        <v>5454317</v>
      </c>
      <c r="I23" s="1077">
        <f t="shared" si="8"/>
        <v>5236087.96</v>
      </c>
      <c r="J23" s="1077">
        <f t="shared" si="8"/>
        <v>5445531.4783999994</v>
      </c>
      <c r="K23" s="1077">
        <f t="shared" si="8"/>
        <v>5663352.7375360001</v>
      </c>
      <c r="L23" s="1077">
        <f t="shared" si="8"/>
        <v>5925886.6863334412</v>
      </c>
      <c r="M23" s="1077">
        <f t="shared" si="8"/>
        <v>6162922.1537867785</v>
      </c>
      <c r="N23" s="1077">
        <f t="shared" si="8"/>
        <v>6409439.0399382506</v>
      </c>
      <c r="O23" s="1077">
        <f t="shared" si="8"/>
        <v>6665816.6015357794</v>
      </c>
      <c r="P23" s="1077">
        <f t="shared" ref="P23:U23" si="9">+P24+P25+P30</f>
        <v>6932449.2655972112</v>
      </c>
      <c r="Q23" s="1077">
        <f t="shared" si="9"/>
        <v>7209747.2362211002</v>
      </c>
      <c r="R23" s="1077">
        <f t="shared" si="9"/>
        <v>7498137.1256699432</v>
      </c>
      <c r="S23" s="1077">
        <f t="shared" si="9"/>
        <v>7798062.6106967423</v>
      </c>
      <c r="T23" s="1077">
        <f t="shared" si="9"/>
        <v>8109985.1151246112</v>
      </c>
      <c r="U23" s="1077">
        <f t="shared" si="9"/>
        <v>8434384.5197295956</v>
      </c>
      <c r="V23" s="1077">
        <f>+V24+V25+V30</f>
        <v>8771759.9005187824</v>
      </c>
    </row>
    <row r="24" spans="1:22">
      <c r="A24" s="1071" t="str">
        <f>+Ingresos!A58</f>
        <v>1120501</v>
      </c>
      <c r="B24" s="1110" t="str">
        <f>+Ingresos!B58</f>
        <v xml:space="preserve">      Transferencias Corrientes (Para Funcionamiento)</v>
      </c>
      <c r="C24" s="1077">
        <f>+Ingresos!H58</f>
        <v>0</v>
      </c>
      <c r="D24" s="1082"/>
      <c r="E24" s="1078" t="e">
        <f>+C24/C23</f>
        <v>#DIV/0!</v>
      </c>
      <c r="F24" s="1076"/>
      <c r="G24" s="1077">
        <f>+'Ingresos Proyecciones'!H43</f>
        <v>552552</v>
      </c>
      <c r="H24" s="1077">
        <f>+'Ingresos Proyecciones'!I43</f>
        <v>619420</v>
      </c>
      <c r="I24" s="1077">
        <f>+'Ingresos Proyecciones'!J43</f>
        <v>552552</v>
      </c>
      <c r="J24" s="1077">
        <f>+'Ingresos Proyecciones'!K43</f>
        <v>574654.08000000007</v>
      </c>
      <c r="K24" s="1077">
        <f>+'Ingresos Proyecciones'!L43</f>
        <v>597640.24320000014</v>
      </c>
      <c r="L24" s="1077">
        <f>+'Ingresos Proyecciones'!M43</f>
        <v>621545.85292800015</v>
      </c>
      <c r="M24" s="1077">
        <f>+'Ingresos Proyecciones'!N43</f>
        <v>646407.68704512017</v>
      </c>
      <c r="N24" s="1077">
        <f>+'Ingresos Proyecciones'!O43</f>
        <v>672263.99452692503</v>
      </c>
      <c r="O24" s="1077">
        <f>+'Ingresos Proyecciones'!P43</f>
        <v>699154.554308002</v>
      </c>
      <c r="P24" s="1077">
        <f>+'Ingresos Proyecciones'!Q43</f>
        <v>727120.73648032208</v>
      </c>
      <c r="Q24" s="1077">
        <f>+'Ingresos Proyecciones'!R43</f>
        <v>756205.56593953504</v>
      </c>
      <c r="R24" s="1077">
        <f>+'Ingresos Proyecciones'!S43</f>
        <v>786453.78857711644</v>
      </c>
      <c r="S24" s="1077">
        <f>+'Ingresos Proyecciones'!T43</f>
        <v>817911.94012020109</v>
      </c>
      <c r="T24" s="1077">
        <f>+'Ingresos Proyecciones'!U43</f>
        <v>850628.41772500915</v>
      </c>
      <c r="U24" s="1077">
        <f>+'Ingresos Proyecciones'!V43</f>
        <v>884653.55443400959</v>
      </c>
      <c r="V24" s="1077">
        <f>+'Ingresos Proyecciones'!W43</f>
        <v>920039.69661136996</v>
      </c>
    </row>
    <row r="25" spans="1:22">
      <c r="A25" s="1071" t="str">
        <f>+Ingresos!A61</f>
        <v>1120502</v>
      </c>
      <c r="B25" s="1110" t="s">
        <v>62</v>
      </c>
      <c r="C25" s="1077">
        <f>SUM(C26:C29)</f>
        <v>0</v>
      </c>
      <c r="D25" s="1087"/>
      <c r="E25" s="1078" t="e">
        <f>+C25/C23</f>
        <v>#DIV/0!</v>
      </c>
      <c r="F25" s="1076"/>
      <c r="G25" s="1077">
        <f t="shared" ref="G25:O25" si="10">SUM(G26:G29)</f>
        <v>4538009</v>
      </c>
      <c r="H25" s="1077">
        <f t="shared" si="10"/>
        <v>4834897</v>
      </c>
      <c r="I25" s="1077">
        <f t="shared" si="10"/>
        <v>4683535.96</v>
      </c>
      <c r="J25" s="1077">
        <f t="shared" si="10"/>
        <v>4870877.3983999994</v>
      </c>
      <c r="K25" s="1077">
        <f t="shared" si="10"/>
        <v>5065712.4943359997</v>
      </c>
      <c r="L25" s="1077">
        <f t="shared" si="10"/>
        <v>5304340.8334054407</v>
      </c>
      <c r="M25" s="1077">
        <f t="shared" si="10"/>
        <v>5516514.4667416587</v>
      </c>
      <c r="N25" s="1077">
        <f t="shared" si="10"/>
        <v>5737175.0454113251</v>
      </c>
      <c r="O25" s="1077">
        <f t="shared" si="10"/>
        <v>5966662.0472277775</v>
      </c>
      <c r="P25" s="1077">
        <f t="shared" ref="P25:U25" si="11">SUM(P26:P29)</f>
        <v>6205328.5291168895</v>
      </c>
      <c r="Q25" s="1077">
        <f t="shared" si="11"/>
        <v>6453541.6702815648</v>
      </c>
      <c r="R25" s="1077">
        <f t="shared" si="11"/>
        <v>6711683.3370928271</v>
      </c>
      <c r="S25" s="1077">
        <f t="shared" si="11"/>
        <v>6980150.6705765408</v>
      </c>
      <c r="T25" s="1077">
        <f t="shared" si="11"/>
        <v>7259356.6973996023</v>
      </c>
      <c r="U25" s="1077">
        <f t="shared" si="11"/>
        <v>7549730.9652955867</v>
      </c>
      <c r="V25" s="1077">
        <f>SUM(V26:V29)</f>
        <v>7851720.2039074115</v>
      </c>
    </row>
    <row r="26" spans="1:22">
      <c r="A26" s="1072" t="str">
        <f>+Ingresos!A62</f>
        <v>1120502010101</v>
      </c>
      <c r="B26" s="1101" t="str">
        <f>+Ingresos!B62</f>
        <v xml:space="preserve">            Sistema General de Participaciones -Educación-</v>
      </c>
      <c r="C26" s="1084">
        <f>+Ingresos!H62</f>
        <v>0</v>
      </c>
      <c r="D26" s="1088"/>
      <c r="E26" s="1086" t="e">
        <f>+C26/C25</f>
        <v>#DIV/0!</v>
      </c>
      <c r="F26" s="1076"/>
      <c r="G26" s="1084">
        <f>+'Ingresos Proyecciones'!H47</f>
        <v>358953</v>
      </c>
      <c r="H26" s="1084">
        <f>+'Ingresos Proyecciones'!I47</f>
        <v>433086</v>
      </c>
      <c r="I26" s="1084">
        <f>+'Ingresos Proyecciones'!J47</f>
        <v>436458.96</v>
      </c>
      <c r="J26" s="1084">
        <f>+'Ingresos Proyecciones'!K47</f>
        <v>453917.31839999999</v>
      </c>
      <c r="K26" s="1084">
        <f>+'Ingresos Proyecciones'!L47</f>
        <v>472074.01113599999</v>
      </c>
      <c r="L26" s="1084">
        <f>+'Ingresos Proyecciones'!M47</f>
        <v>411668.68281343998</v>
      </c>
      <c r="M26" s="1084">
        <f>+'Ingresos Proyecciones'!N47</f>
        <v>428135.43012597755</v>
      </c>
      <c r="N26" s="1084">
        <f>+'Ingresos Proyecciones'!O47</f>
        <v>445260.84733101667</v>
      </c>
      <c r="O26" s="1084">
        <f>+'Ingresos Proyecciones'!P47</f>
        <v>463071.28122425731</v>
      </c>
      <c r="P26" s="1084">
        <f>+'Ingresos Proyecciones'!Q47</f>
        <v>481594.13247322763</v>
      </c>
      <c r="Q26" s="1084">
        <f>+'Ingresos Proyecciones'!R47</f>
        <v>500857.89777215675</v>
      </c>
      <c r="R26" s="1084">
        <f>+'Ingresos Proyecciones'!S47</f>
        <v>520892.21368304302</v>
      </c>
      <c r="S26" s="1084">
        <f>+'Ingresos Proyecciones'!T47</f>
        <v>541727.90223036474</v>
      </c>
      <c r="T26" s="1084">
        <f>+'Ingresos Proyecciones'!U47</f>
        <v>563397.01831957942</v>
      </c>
      <c r="U26" s="1084">
        <f>+'Ingresos Proyecciones'!V47</f>
        <v>585932.89905236254</v>
      </c>
      <c r="V26" s="1084">
        <f>+'Ingresos Proyecciones'!W47</f>
        <v>609370.21501445712</v>
      </c>
    </row>
    <row r="27" spans="1:22">
      <c r="A27" s="1072" t="str">
        <f>+Ingresos!A65</f>
        <v>1120502010102</v>
      </c>
      <c r="B27" s="1101" t="str">
        <f>+Ingresos!B65</f>
        <v xml:space="preserve">            Sistema General de Participaciones -Salud-</v>
      </c>
      <c r="C27" s="1084">
        <f>+Ingresos!H65</f>
        <v>0</v>
      </c>
      <c r="D27" s="1088"/>
      <c r="E27" s="1086" t="e">
        <f>+C27/C25</f>
        <v>#DIV/0!</v>
      </c>
      <c r="F27" s="1076"/>
      <c r="G27" s="1084">
        <f>+'Ingresos Proyecciones'!H52</f>
        <v>2832516</v>
      </c>
      <c r="H27" s="1084">
        <f>+'Ingresos Proyecciones'!I52</f>
        <v>2968313</v>
      </c>
      <c r="I27" s="1084">
        <f>+'Ingresos Proyecciones'!J52</f>
        <v>2968313</v>
      </c>
      <c r="J27" s="1084">
        <f>+'Ingresos Proyecciones'!K52</f>
        <v>3087045.52</v>
      </c>
      <c r="K27" s="1084">
        <f>+'Ingresos Proyecciones'!L52</f>
        <v>3210527.3407999999</v>
      </c>
      <c r="L27" s="1084">
        <f>+'Ingresos Proyecciones'!M52</f>
        <v>1999011.5624960004</v>
      </c>
      <c r="M27" s="1084">
        <f>+'Ingresos Proyecciones'!N52</f>
        <v>2078972.0249958406</v>
      </c>
      <c r="N27" s="1084">
        <f>+'Ingresos Proyecciones'!O52</f>
        <v>2162130.9059956744</v>
      </c>
      <c r="O27" s="1084">
        <f>+'Ingresos Proyecciones'!P52</f>
        <v>2248616.1422355012</v>
      </c>
      <c r="P27" s="1084">
        <f>+'Ingresos Proyecciones'!Q52</f>
        <v>2338560.7879249211</v>
      </c>
      <c r="Q27" s="1084">
        <f>+'Ingresos Proyecciones'!R52</f>
        <v>2432103.2194419182</v>
      </c>
      <c r="R27" s="1084">
        <f>+'Ingresos Proyecciones'!S52</f>
        <v>2529387.3482195949</v>
      </c>
      <c r="S27" s="1084">
        <f>+'Ingresos Proyecciones'!T52</f>
        <v>2630562.8421483785</v>
      </c>
      <c r="T27" s="1084">
        <f>+'Ingresos Proyecciones'!U52</f>
        <v>2735785.3558343137</v>
      </c>
      <c r="U27" s="1084">
        <f>+'Ingresos Proyecciones'!V52</f>
        <v>2845216.7700676867</v>
      </c>
      <c r="V27" s="1084">
        <f>+'Ingresos Proyecciones'!W52</f>
        <v>2959025.4408703945</v>
      </c>
    </row>
    <row r="28" spans="1:22" ht="22.5">
      <c r="A28" s="1072" t="str">
        <f>+Ingresos!A71</f>
        <v>1120502010103</v>
      </c>
      <c r="B28" s="1101" t="str">
        <f>+Ingresos!B71</f>
        <v xml:space="preserve">            Sistema General de Participaciones Propósito General (Forsoza Inversión)</v>
      </c>
      <c r="C28" s="1084">
        <f>+Ingresos!H71</f>
        <v>0</v>
      </c>
      <c r="D28" s="1088"/>
      <c r="E28" s="1086" t="e">
        <f>+C28/C25</f>
        <v>#DIV/0!</v>
      </c>
      <c r="F28" s="1076"/>
      <c r="G28" s="1084">
        <f>+'Ingresos Proyecciones'!H59</f>
        <v>1278764</v>
      </c>
      <c r="H28" s="1084">
        <f>+'Ingresos Proyecciones'!I59</f>
        <v>1433498</v>
      </c>
      <c r="I28" s="1084">
        <f>+'Ingresos Proyecciones'!J59</f>
        <v>1278764</v>
      </c>
      <c r="J28" s="1084">
        <f>+'Ingresos Proyecciones'!K59</f>
        <v>1329914.56</v>
      </c>
      <c r="K28" s="1084">
        <f>+'Ingresos Proyecciones'!L59</f>
        <v>1383111.1424000002</v>
      </c>
      <c r="L28" s="1084">
        <f>+'Ingresos Proyecciones'!M59</f>
        <v>1438435.5880960003</v>
      </c>
      <c r="M28" s="1084">
        <f>+'Ingresos Proyecciones'!N59</f>
        <v>1495973.0116198403</v>
      </c>
      <c r="N28" s="1084">
        <f>+'Ingresos Proyecciones'!O59</f>
        <v>1555811.932084634</v>
      </c>
      <c r="O28" s="1084">
        <f>+'Ingresos Proyecciones'!P59</f>
        <v>1618044.4093680193</v>
      </c>
      <c r="P28" s="1084">
        <f>+'Ingresos Proyecciones'!Q59</f>
        <v>1682766.1857427401</v>
      </c>
      <c r="Q28" s="1084">
        <f>+'Ingresos Proyecciones'!R59</f>
        <v>1750076.8331724496</v>
      </c>
      <c r="R28" s="1084">
        <f>+'Ingresos Proyecciones'!S59</f>
        <v>1820079.9064993476</v>
      </c>
      <c r="S28" s="1084">
        <f>+'Ingresos Proyecciones'!T59</f>
        <v>1892883.1027593217</v>
      </c>
      <c r="T28" s="1084">
        <f>+'Ingresos Proyecciones'!U59</f>
        <v>1968598.4268696946</v>
      </c>
      <c r="U28" s="1084">
        <f>+'Ingresos Proyecciones'!V59</f>
        <v>2047342.3639444825</v>
      </c>
      <c r="V28" s="1084">
        <f>+'Ingresos Proyecciones'!W59</f>
        <v>2129236.058502262</v>
      </c>
    </row>
    <row r="29" spans="1:22" ht="22.5">
      <c r="A29" s="1071" t="str">
        <f>+Ingresos!A74</f>
        <v>1120502010198</v>
      </c>
      <c r="B29" s="1101" t="s">
        <v>63</v>
      </c>
      <c r="C29" s="1084">
        <f>+Ingresos!H72+Ingresos!H73+Ingresos!H74</f>
        <v>0</v>
      </c>
      <c r="D29" s="1083"/>
      <c r="E29" s="1086" t="e">
        <f>+C29/C25</f>
        <v>#DIV/0!</v>
      </c>
      <c r="F29" s="1076"/>
      <c r="G29" s="1084">
        <f>+'Ingresos Proyecciones'!H64+'Ingresos Proyecciones'!H65+'Ingresos Proyecciones'!H66</f>
        <v>67776</v>
      </c>
      <c r="H29" s="1084">
        <f>+'Ingresos Proyecciones'!I64+'Ingresos Proyecciones'!I65+'Ingresos Proyecciones'!I66</f>
        <v>0</v>
      </c>
      <c r="I29" s="1084">
        <f>+'Ingresos Proyecciones'!J64+'Ingresos Proyecciones'!J65+'Ingresos Proyecciones'!J66</f>
        <v>0</v>
      </c>
      <c r="J29" s="1084">
        <f>+'Ingresos Proyecciones'!K64+'Ingresos Proyecciones'!K65+'Ingresos Proyecciones'!K66</f>
        <v>0</v>
      </c>
      <c r="K29" s="1084">
        <f>+'Ingresos Proyecciones'!L64+'Ingresos Proyecciones'!L65+'Ingresos Proyecciones'!L66</f>
        <v>0</v>
      </c>
      <c r="L29" s="1084">
        <f>+'Ingresos Proyecciones'!M64+'Ingresos Proyecciones'!M65+'Ingresos Proyecciones'!M66</f>
        <v>1455225</v>
      </c>
      <c r="M29" s="1084">
        <f>+'Ingresos Proyecciones'!N64+'Ingresos Proyecciones'!N65+'Ingresos Proyecciones'!N66</f>
        <v>1513434</v>
      </c>
      <c r="N29" s="1084">
        <f>+'Ingresos Proyecciones'!O64+'Ingresos Proyecciones'!O65+'Ingresos Proyecciones'!O66</f>
        <v>1573971.36</v>
      </c>
      <c r="O29" s="1084">
        <f>+'Ingresos Proyecciones'!P64+'Ingresos Proyecciones'!P65+'Ingresos Proyecciones'!P66</f>
        <v>1636930.2144000002</v>
      </c>
      <c r="P29" s="1084">
        <f>+'Ingresos Proyecciones'!Q64+'Ingresos Proyecciones'!Q65+'Ingresos Proyecciones'!Q66</f>
        <v>1702407.4229760002</v>
      </c>
      <c r="Q29" s="1084">
        <f>+'Ingresos Proyecciones'!R64+'Ingresos Proyecciones'!R65+'Ingresos Proyecciones'!R66</f>
        <v>1770503.7198950402</v>
      </c>
      <c r="R29" s="1084">
        <f>+'Ingresos Proyecciones'!S64+'Ingresos Proyecciones'!S65+'Ingresos Proyecciones'!S66</f>
        <v>1841323.8686908418</v>
      </c>
      <c r="S29" s="1084">
        <f>+'Ingresos Proyecciones'!T64+'Ingresos Proyecciones'!T65+'Ingresos Proyecciones'!T66</f>
        <v>1914976.8234384754</v>
      </c>
      <c r="T29" s="1084">
        <f>+'Ingresos Proyecciones'!U64+'Ingresos Proyecciones'!U65+'Ingresos Proyecciones'!U66</f>
        <v>1991575.8963760147</v>
      </c>
      <c r="U29" s="1084">
        <f>+'Ingresos Proyecciones'!V64+'Ingresos Proyecciones'!V65+'Ingresos Proyecciones'!V66</f>
        <v>2071238.9322310551</v>
      </c>
      <c r="V29" s="1084">
        <f>+'Ingresos Proyecciones'!W64+'Ingresos Proyecciones'!W65+'Ingresos Proyecciones'!W66</f>
        <v>2154088.4895202979</v>
      </c>
    </row>
    <row r="30" spans="1:22" ht="12" customHeight="1">
      <c r="A30" s="1071" t="str">
        <f>+Ingresos!A78</f>
        <v>112050202</v>
      </c>
      <c r="B30" s="1110" t="str">
        <f>+Ingresos!B78</f>
        <v xml:space="preserve">        Del Nivel Departamental</v>
      </c>
      <c r="C30" s="1077">
        <f>+Ingresos!H78</f>
        <v>0</v>
      </c>
      <c r="D30" s="1083"/>
      <c r="E30" s="1078" t="e">
        <f>+C30/C23</f>
        <v>#DIV/0!</v>
      </c>
      <c r="F30" s="1076"/>
      <c r="G30" s="1077">
        <f>+'Ingresos Proyecciones'!H70</f>
        <v>7571.2</v>
      </c>
      <c r="H30" s="1077">
        <f>+'Ingresos Proyecciones'!I70</f>
        <v>0</v>
      </c>
      <c r="I30" s="1077">
        <f>+'Ingresos Proyecciones'!J70</f>
        <v>0</v>
      </c>
      <c r="J30" s="1077">
        <f>+'Ingresos Proyecciones'!K70</f>
        <v>0</v>
      </c>
      <c r="K30" s="1077">
        <f>+'Ingresos Proyecciones'!L70</f>
        <v>0</v>
      </c>
      <c r="L30" s="1077">
        <f>+'Ingresos Proyecciones'!M70</f>
        <v>0</v>
      </c>
      <c r="M30" s="1077">
        <f>+'Ingresos Proyecciones'!N70</f>
        <v>0</v>
      </c>
      <c r="N30" s="1077">
        <f>+'Ingresos Proyecciones'!O70</f>
        <v>0</v>
      </c>
      <c r="O30" s="1077">
        <f>+'Ingresos Proyecciones'!P70</f>
        <v>0</v>
      </c>
      <c r="P30" s="1077">
        <f>+'Ingresos Proyecciones'!Q70</f>
        <v>0</v>
      </c>
      <c r="Q30" s="1077">
        <f>+'Ingresos Proyecciones'!R70</f>
        <v>0</v>
      </c>
      <c r="R30" s="1077">
        <f>+'Ingresos Proyecciones'!S70</f>
        <v>0</v>
      </c>
      <c r="S30" s="1077">
        <f>+'Ingresos Proyecciones'!T70</f>
        <v>0</v>
      </c>
      <c r="T30" s="1077">
        <f>+'Ingresos Proyecciones'!U70</f>
        <v>0</v>
      </c>
      <c r="U30" s="1077">
        <f>+'Ingresos Proyecciones'!V70</f>
        <v>0</v>
      </c>
      <c r="V30" s="1077">
        <f>+'Ingresos Proyecciones'!W70</f>
        <v>0</v>
      </c>
    </row>
    <row r="31" spans="1:22" ht="12.75" customHeight="1">
      <c r="A31" s="1071" t="str">
        <f>+Gastos!A25</f>
        <v>2</v>
      </c>
      <c r="B31" s="1110" t="s">
        <v>64</v>
      </c>
      <c r="C31" s="1077" t="e">
        <f>+C32+C59</f>
        <v>#REF!</v>
      </c>
      <c r="D31" s="1076"/>
      <c r="E31" s="1086"/>
      <c r="F31" s="1076"/>
      <c r="G31" s="1077" t="e">
        <f>+G32+G59</f>
        <v>#REF!</v>
      </c>
      <c r="H31" s="1077">
        <f>+H32+H59</f>
        <v>5741239</v>
      </c>
      <c r="I31" s="1077">
        <f t="shared" ref="I31:O31" si="12">+I32+I59</f>
        <v>5672106.6319999993</v>
      </c>
      <c r="J31" s="1077">
        <f t="shared" si="12"/>
        <v>5898991.8572800001</v>
      </c>
      <c r="K31" s="1077">
        <f t="shared" si="12"/>
        <v>6134951.1880192002</v>
      </c>
      <c r="L31" s="1077">
        <f t="shared" si="12"/>
        <v>6428348.7343559694</v>
      </c>
      <c r="M31" s="1077">
        <f t="shared" si="12"/>
        <v>6685482.6837302074</v>
      </c>
      <c r="N31" s="1077">
        <f t="shared" si="12"/>
        <v>6952901.9910794161</v>
      </c>
      <c r="O31" s="1077">
        <f t="shared" si="12"/>
        <v>7231018.0707225921</v>
      </c>
      <c r="P31" s="1077">
        <f t="shared" ref="P31:U31" si="13">+P32+P59</f>
        <v>7520258.7935514953</v>
      </c>
      <c r="Q31" s="1077">
        <f t="shared" si="13"/>
        <v>7821069.1452935562</v>
      </c>
      <c r="R31" s="1077">
        <f t="shared" si="13"/>
        <v>8133911.9111052975</v>
      </c>
      <c r="S31" s="1077">
        <f t="shared" si="13"/>
        <v>8459268.3875495121</v>
      </c>
      <c r="T31" s="1077">
        <f t="shared" si="13"/>
        <v>8797639.1230514906</v>
      </c>
      <c r="U31" s="1077">
        <f t="shared" si="13"/>
        <v>9149544.6879735515</v>
      </c>
      <c r="V31" s="1077">
        <f>+V32+V59</f>
        <v>9515525.4754924942</v>
      </c>
    </row>
    <row r="32" spans="1:22" ht="12.75" customHeight="1">
      <c r="A32" s="369" t="s">
        <v>65</v>
      </c>
      <c r="B32" s="1110" t="s">
        <v>66</v>
      </c>
      <c r="C32" s="1077" t="e">
        <f>+C33+C46+C48+C49+#REF!</f>
        <v>#REF!</v>
      </c>
      <c r="D32" s="1089"/>
      <c r="E32" s="1078" t="e">
        <f>+C32/C87</f>
        <v>#REF!</v>
      </c>
      <c r="F32" s="1076"/>
      <c r="G32" s="1077" t="e">
        <f>+G33+G46+G48+G49+#REF!</f>
        <v>#REF!</v>
      </c>
      <c r="H32" s="1077">
        <f>+H33+H46+H48+H49</f>
        <v>4384295</v>
      </c>
      <c r="I32" s="1077">
        <f t="shared" ref="I32:O32" si="14">+I33+I46+I48+I49</f>
        <v>4492340.72</v>
      </c>
      <c r="J32" s="1077">
        <f t="shared" si="14"/>
        <v>4487715.3087999998</v>
      </c>
      <c r="K32" s="1077">
        <f t="shared" si="14"/>
        <v>4893863.8656000001</v>
      </c>
      <c r="L32" s="1077">
        <f t="shared" si="14"/>
        <v>4883656.9395200005</v>
      </c>
      <c r="M32" s="1077">
        <f t="shared" si="14"/>
        <v>5105003.2171008009</v>
      </c>
      <c r="N32" s="1077">
        <f t="shared" si="14"/>
        <v>5254043.3457848327</v>
      </c>
      <c r="O32" s="1077">
        <f t="shared" si="14"/>
        <v>5409085.0796162253</v>
      </c>
      <c r="P32" s="1077">
        <f t="shared" ref="P32:U32" si="15">+P33+P46+P48+P49</f>
        <v>5625448.4828008739</v>
      </c>
      <c r="Q32" s="1077">
        <f t="shared" si="15"/>
        <v>5850466.4221129101</v>
      </c>
      <c r="R32" s="1077">
        <f t="shared" si="15"/>
        <v>6084485.0789974257</v>
      </c>
      <c r="S32" s="1077">
        <f t="shared" si="15"/>
        <v>6327864.4821573254</v>
      </c>
      <c r="T32" s="1077">
        <f t="shared" si="15"/>
        <v>6580979.0614436166</v>
      </c>
      <c r="U32" s="1077">
        <f t="shared" si="15"/>
        <v>6844218.2239013622</v>
      </c>
      <c r="V32" s="1077">
        <f>+V33+V46+V48+V49</f>
        <v>7117985.9528574171</v>
      </c>
    </row>
    <row r="33" spans="1:22">
      <c r="A33" s="1071" t="str">
        <f>+Gastos!A26</f>
        <v>21</v>
      </c>
      <c r="B33" s="1110" t="s">
        <v>67</v>
      </c>
      <c r="C33" s="1077">
        <f>+C34+C35+C36</f>
        <v>0</v>
      </c>
      <c r="D33" s="1085"/>
      <c r="E33" s="1078" t="e">
        <f>+C33/C87</f>
        <v>#REF!</v>
      </c>
      <c r="F33" s="1076"/>
      <c r="G33" s="1077">
        <f t="shared" ref="G33:O33" si="16">+G34+G35+G36</f>
        <v>642433</v>
      </c>
      <c r="H33" s="1077">
        <f>+H34+H35+H36</f>
        <v>749625</v>
      </c>
      <c r="I33" s="1077">
        <f t="shared" si="16"/>
        <v>617006.91999999993</v>
      </c>
      <c r="J33" s="1077">
        <f t="shared" si="16"/>
        <v>640648.1568</v>
      </c>
      <c r="K33" s="1077">
        <f t="shared" si="16"/>
        <v>666274.02752</v>
      </c>
      <c r="L33" s="1077">
        <f t="shared" si="16"/>
        <v>711524.18862080004</v>
      </c>
      <c r="M33" s="1077">
        <f t="shared" si="16"/>
        <v>739985.15616563195</v>
      </c>
      <c r="N33" s="1077">
        <f t="shared" si="16"/>
        <v>769584.56241225731</v>
      </c>
      <c r="O33" s="1077">
        <f t="shared" si="16"/>
        <v>800367.94490874768</v>
      </c>
      <c r="P33" s="1077">
        <f t="shared" ref="P33:U33" si="17">+P34+P35+P36</f>
        <v>832382.66270509758</v>
      </c>
      <c r="Q33" s="1077">
        <f t="shared" si="17"/>
        <v>865677.96921330155</v>
      </c>
      <c r="R33" s="1077">
        <f t="shared" si="17"/>
        <v>900305.08798183361</v>
      </c>
      <c r="S33" s="1077">
        <f t="shared" si="17"/>
        <v>936317.29150110716</v>
      </c>
      <c r="T33" s="1077">
        <f t="shared" si="17"/>
        <v>973769.98316115129</v>
      </c>
      <c r="U33" s="1077">
        <f t="shared" si="17"/>
        <v>1012720.7824875974</v>
      </c>
      <c r="V33" s="1077">
        <f>+V34+V35+V36</f>
        <v>1053228.6137871016</v>
      </c>
    </row>
    <row r="34" spans="1:22">
      <c r="A34" s="1071" t="str">
        <f>+Gastos!A27</f>
        <v>211</v>
      </c>
      <c r="B34" s="1110" t="str">
        <f>+Gastos!C27</f>
        <v xml:space="preserve">  GASTOS DE PERSONAL</v>
      </c>
      <c r="C34" s="1077">
        <f>+Gastos!J27</f>
        <v>0</v>
      </c>
      <c r="D34" s="1085"/>
      <c r="E34" s="1078" t="e">
        <f>+C34/C33</f>
        <v>#DIV/0!</v>
      </c>
      <c r="F34" s="1076"/>
      <c r="G34" s="1077">
        <f>+'Gastos Proyecciones'!H16</f>
        <v>248511</v>
      </c>
      <c r="H34" s="1077">
        <f>+'Gastos Proyecciones'!I16</f>
        <v>382218</v>
      </c>
      <c r="I34" s="1077">
        <f>+'Gastos Proyecciones'!J16</f>
        <v>242151</v>
      </c>
      <c r="J34" s="1077">
        <f>+'Gastos Proyecciones'!K16</f>
        <v>250798</v>
      </c>
      <c r="K34" s="1077">
        <f>+'Gastos Proyecciones'!L16</f>
        <v>302601</v>
      </c>
      <c r="L34" s="1077">
        <f>+'Gastos Proyecciones'!M16</f>
        <v>333304.24</v>
      </c>
      <c r="M34" s="1077">
        <f>+'Gastos Proyecciones'!N16</f>
        <v>346636.40959999996</v>
      </c>
      <c r="N34" s="1077">
        <f>+'Gastos Proyecciones'!O16</f>
        <v>360501.86598400003</v>
      </c>
      <c r="O34" s="1077">
        <f>+'Gastos Proyecciones'!P16</f>
        <v>374921.94062336005</v>
      </c>
      <c r="P34" s="1077">
        <f>+'Gastos Proyecciones'!Q16</f>
        <v>389918.81824829447</v>
      </c>
      <c r="Q34" s="1077">
        <f>+'Gastos Proyecciones'!R16</f>
        <v>405515.57097822626</v>
      </c>
      <c r="R34" s="1077">
        <f>+'Gastos Proyecciones'!S16</f>
        <v>421736.19381735526</v>
      </c>
      <c r="S34" s="1077">
        <f>+'Gastos Proyecciones'!T16</f>
        <v>438605.64157004951</v>
      </c>
      <c r="T34" s="1077">
        <f>+'Gastos Proyecciones'!U16</f>
        <v>456149.86723285151</v>
      </c>
      <c r="U34" s="1077">
        <f>+'Gastos Proyecciones'!V16</f>
        <v>474395.86192216561</v>
      </c>
      <c r="V34" s="1077">
        <f>+'Gastos Proyecciones'!W16</f>
        <v>493370.69639905228</v>
      </c>
    </row>
    <row r="35" spans="1:22">
      <c r="A35" s="1071" t="str">
        <f>+Gastos!A42</f>
        <v>212</v>
      </c>
      <c r="B35" s="1110" t="str">
        <f>+Gastos!C42</f>
        <v xml:space="preserve">  GASTOS GENERALES</v>
      </c>
      <c r="C35" s="1077">
        <f>+Gastos!J42</f>
        <v>0</v>
      </c>
      <c r="D35" s="1082"/>
      <c r="E35" s="1078" t="e">
        <f>+C35/C33</f>
        <v>#DIV/0!</v>
      </c>
      <c r="F35" s="1076"/>
      <c r="G35" s="1077">
        <f>+'Gastos Proyecciones'!H26</f>
        <v>112000</v>
      </c>
      <c r="H35" s="1077">
        <f>+'Gastos Proyecciones'!I26</f>
        <v>93192</v>
      </c>
      <c r="I35" s="1077">
        <f>+'Gastos Proyecciones'!J26</f>
        <v>93192</v>
      </c>
      <c r="J35" s="1077">
        <f>+'Gastos Proyecciones'!K26</f>
        <v>96919.679999999993</v>
      </c>
      <c r="K35" s="1077">
        <f>+'Gastos Proyecciones'!L26</f>
        <v>91500</v>
      </c>
      <c r="L35" s="1077">
        <f>+'Gastos Proyecciones'!M26</f>
        <v>95160</v>
      </c>
      <c r="M35" s="1077">
        <f>+'Gastos Proyecciones'!N26</f>
        <v>98966.399999999994</v>
      </c>
      <c r="N35" s="1077">
        <f>+'Gastos Proyecciones'!O26</f>
        <v>102925.056</v>
      </c>
      <c r="O35" s="1077">
        <f>+'Gastos Proyecciones'!P26</f>
        <v>107042.05824</v>
      </c>
      <c r="P35" s="1077">
        <f>+'Gastos Proyecciones'!Q26</f>
        <v>111323.74056959999</v>
      </c>
      <c r="Q35" s="1077">
        <f>+'Gastos Proyecciones'!R26</f>
        <v>115776.69019238401</v>
      </c>
      <c r="R35" s="1077">
        <f>+'Gastos Proyecciones'!S26</f>
        <v>120407.75780007937</v>
      </c>
      <c r="S35" s="1077">
        <f>+'Gastos Proyecciones'!T26</f>
        <v>125224.06811208255</v>
      </c>
      <c r="T35" s="1077">
        <f>+'Gastos Proyecciones'!U26</f>
        <v>130233.03083656586</v>
      </c>
      <c r="U35" s="1077">
        <f>+'Gastos Proyecciones'!V26</f>
        <v>135442.35207002849</v>
      </c>
      <c r="V35" s="1077">
        <f>+'Gastos Proyecciones'!W26</f>
        <v>140860.04615282963</v>
      </c>
    </row>
    <row r="36" spans="1:22">
      <c r="A36" s="1071" t="str">
        <f>+Gastos!A46</f>
        <v>213</v>
      </c>
      <c r="B36" s="1110" t="s">
        <v>1102</v>
      </c>
      <c r="C36" s="1077">
        <f>SUM(C37:C45)</f>
        <v>0</v>
      </c>
      <c r="D36" s="1085"/>
      <c r="E36" s="1078" t="e">
        <f>+C36/C33</f>
        <v>#DIV/0!</v>
      </c>
      <c r="F36" s="1076"/>
      <c r="G36" s="1077">
        <f t="shared" ref="G36:O36" si="18">SUM(G37:G45)</f>
        <v>281922</v>
      </c>
      <c r="H36" s="1077">
        <f t="shared" si="18"/>
        <v>274215</v>
      </c>
      <c r="I36" s="1077">
        <f t="shared" si="18"/>
        <v>281663.92</v>
      </c>
      <c r="J36" s="1077">
        <f t="shared" si="18"/>
        <v>292930.4768</v>
      </c>
      <c r="K36" s="1077">
        <f t="shared" si="18"/>
        <v>272173.02752</v>
      </c>
      <c r="L36" s="1077">
        <f t="shared" si="18"/>
        <v>283059.94862080005</v>
      </c>
      <c r="M36" s="1077">
        <f t="shared" si="18"/>
        <v>294382.34656563203</v>
      </c>
      <c r="N36" s="1077">
        <f t="shared" si="18"/>
        <v>306157.64042825735</v>
      </c>
      <c r="O36" s="1077">
        <f t="shared" si="18"/>
        <v>318403.94604538765</v>
      </c>
      <c r="P36" s="1077">
        <f t="shared" ref="P36:U36" si="19">SUM(P37:P45)</f>
        <v>331140.10388720315</v>
      </c>
      <c r="Q36" s="1077">
        <f t="shared" si="19"/>
        <v>344385.70804269129</v>
      </c>
      <c r="R36" s="1077">
        <f t="shared" si="19"/>
        <v>358161.13636439899</v>
      </c>
      <c r="S36" s="1077">
        <f t="shared" si="19"/>
        <v>372487.58181897504</v>
      </c>
      <c r="T36" s="1077">
        <f t="shared" si="19"/>
        <v>387387.08509173396</v>
      </c>
      <c r="U36" s="1077">
        <f t="shared" si="19"/>
        <v>402882.56849540339</v>
      </c>
      <c r="V36" s="1077">
        <f>SUM(V37:V45)</f>
        <v>418997.87123521953</v>
      </c>
    </row>
    <row r="37" spans="1:22" hidden="1">
      <c r="A37" s="1073" t="s">
        <v>68</v>
      </c>
      <c r="B37" s="1101" t="str">
        <f>+Gastos!C50</f>
        <v xml:space="preserve">          Pensiones (mesadas)</v>
      </c>
      <c r="C37" s="1084">
        <f>+Gastos!J50+Gastos!J61</f>
        <v>0</v>
      </c>
      <c r="D37" s="1085"/>
      <c r="E37" s="1086" t="e">
        <f t="shared" ref="E37:E42" si="20">+C37/$C$36</f>
        <v>#DIV/0!</v>
      </c>
      <c r="F37" s="1076"/>
      <c r="G37" s="1084">
        <f>+'Gastos Proyecciones'!H33+'Gastos Proyecciones'!H44</f>
        <v>0</v>
      </c>
      <c r="H37" s="1084">
        <f>+'Gastos Proyecciones'!I33+'Gastos Proyecciones'!I44</f>
        <v>0</v>
      </c>
      <c r="I37" s="1084">
        <f>+'Gastos Proyecciones'!J33+'Gastos Proyecciones'!J44</f>
        <v>0</v>
      </c>
      <c r="J37" s="1084">
        <f>+'Gastos Proyecciones'!K33+'Gastos Proyecciones'!K44</f>
        <v>0</v>
      </c>
      <c r="K37" s="1084">
        <f>+'Gastos Proyecciones'!L33+'Gastos Proyecciones'!L44</f>
        <v>0</v>
      </c>
      <c r="L37" s="1084">
        <f>+'Gastos Proyecciones'!M33+'Gastos Proyecciones'!M44</f>
        <v>0</v>
      </c>
      <c r="M37" s="1084">
        <f>+'Gastos Proyecciones'!N33+'Gastos Proyecciones'!N44</f>
        <v>0</v>
      </c>
      <c r="N37" s="1084">
        <f>+'Gastos Proyecciones'!O33+'Gastos Proyecciones'!O44</f>
        <v>0</v>
      </c>
      <c r="O37" s="1084">
        <f>+'Gastos Proyecciones'!P33+'Gastos Proyecciones'!P44</f>
        <v>0</v>
      </c>
      <c r="P37" s="1084">
        <f>+'Gastos Proyecciones'!Q33+'Gastos Proyecciones'!Q44</f>
        <v>0</v>
      </c>
      <c r="Q37" s="1084">
        <f>+'Gastos Proyecciones'!R33+'Gastos Proyecciones'!R44</f>
        <v>0</v>
      </c>
      <c r="R37" s="1084">
        <f>+'Gastos Proyecciones'!S33+'Gastos Proyecciones'!S44</f>
        <v>0</v>
      </c>
      <c r="S37" s="1084">
        <f>+'Gastos Proyecciones'!T33+'Gastos Proyecciones'!T44</f>
        <v>0</v>
      </c>
      <c r="T37" s="1084">
        <f>+'Gastos Proyecciones'!U33+'Gastos Proyecciones'!U44</f>
        <v>0</v>
      </c>
      <c r="U37" s="1084">
        <f>+'Gastos Proyecciones'!V33+'Gastos Proyecciones'!V44</f>
        <v>0</v>
      </c>
      <c r="V37" s="1084">
        <f>+'Gastos Proyecciones'!W33+'Gastos Proyecciones'!W44</f>
        <v>0</v>
      </c>
    </row>
    <row r="38" spans="1:22">
      <c r="A38" s="369" t="s">
        <v>69</v>
      </c>
      <c r="B38" s="1101" t="s">
        <v>70</v>
      </c>
      <c r="C38" s="1084">
        <f>+Gastos!J49+Gastos!J51+Gastos!J60+Gastos!J62</f>
        <v>0</v>
      </c>
      <c r="D38" s="1082"/>
      <c r="E38" s="1086" t="e">
        <f t="shared" si="20"/>
        <v>#DIV/0!</v>
      </c>
      <c r="F38" s="1076"/>
      <c r="G38" s="1084">
        <f>+'Gastos Proyecciones'!H32+'Gastos Proyecciones'!H34+'Gastos Proyecciones'!H43+'Gastos Proyecciones'!H45</f>
        <v>53250</v>
      </c>
      <c r="H38" s="1084">
        <f>+'Gastos Proyecciones'!I32+'Gastos Proyecciones'!I34+'Gastos Proyecciones'!I43+'Gastos Proyecciones'!I45</f>
        <v>20000</v>
      </c>
      <c r="I38" s="1084">
        <f>+'Gastos Proyecciones'!J32+'Gastos Proyecciones'!J34+'Gastos Proyecciones'!J43+'Gastos Proyecciones'!J45</f>
        <v>20000</v>
      </c>
      <c r="J38" s="1084">
        <f>+'Gastos Proyecciones'!K32+'Gastos Proyecciones'!K34+'Gastos Proyecciones'!K43+'Gastos Proyecciones'!K45</f>
        <v>20800</v>
      </c>
      <c r="K38" s="1084">
        <f>+'Gastos Proyecciones'!L32+'Gastos Proyecciones'!L34+'Gastos Proyecciones'!L43+'Gastos Proyecciones'!L45</f>
        <v>10830</v>
      </c>
      <c r="L38" s="1084">
        <f>+'Gastos Proyecciones'!M32+'Gastos Proyecciones'!M34+'Gastos Proyecciones'!M43+'Gastos Proyecciones'!M45</f>
        <v>11263.2</v>
      </c>
      <c r="M38" s="1084">
        <f>+'Gastos Proyecciones'!N32+'Gastos Proyecciones'!N34+'Gastos Proyecciones'!N43+'Gastos Proyecciones'!N45</f>
        <v>11713.728000000001</v>
      </c>
      <c r="N38" s="1084">
        <f>+'Gastos Proyecciones'!O32+'Gastos Proyecciones'!O34+'Gastos Proyecciones'!O43+'Gastos Proyecciones'!O45</f>
        <v>12182.277120000001</v>
      </c>
      <c r="O38" s="1084">
        <f>+'Gastos Proyecciones'!P32+'Gastos Proyecciones'!P34+'Gastos Proyecciones'!P43+'Gastos Proyecciones'!P45</f>
        <v>12669.568204800002</v>
      </c>
      <c r="P38" s="1084">
        <f>+'Gastos Proyecciones'!Q32+'Gastos Proyecciones'!Q34+'Gastos Proyecciones'!Q43+'Gastos Proyecciones'!Q45</f>
        <v>13176.350932992002</v>
      </c>
      <c r="Q38" s="1084">
        <f>+'Gastos Proyecciones'!R32+'Gastos Proyecciones'!R34+'Gastos Proyecciones'!R43+'Gastos Proyecciones'!R45</f>
        <v>13703.404970311682</v>
      </c>
      <c r="R38" s="1084">
        <f>+'Gastos Proyecciones'!S32+'Gastos Proyecciones'!S34+'Gastos Proyecciones'!S43+'Gastos Proyecciones'!S45</f>
        <v>14251.54116912415</v>
      </c>
      <c r="S38" s="1084">
        <f>+'Gastos Proyecciones'!T32+'Gastos Proyecciones'!T34+'Gastos Proyecciones'!T43+'Gastos Proyecciones'!T45</f>
        <v>14821.602815889117</v>
      </c>
      <c r="T38" s="1084">
        <f>+'Gastos Proyecciones'!U32+'Gastos Proyecciones'!U34+'Gastos Proyecciones'!U43+'Gastos Proyecciones'!U45</f>
        <v>15414.466928524682</v>
      </c>
      <c r="U38" s="1084">
        <f>+'Gastos Proyecciones'!V32+'Gastos Proyecciones'!V34+'Gastos Proyecciones'!V43+'Gastos Proyecciones'!V45</f>
        <v>16031.045605665669</v>
      </c>
      <c r="V38" s="1084">
        <f>+'Gastos Proyecciones'!W32+'Gastos Proyecciones'!W34+'Gastos Proyecciones'!W43+'Gastos Proyecciones'!W45</f>
        <v>16672.287429892298</v>
      </c>
    </row>
    <row r="39" spans="1:22" hidden="1">
      <c r="A39" s="1071" t="s">
        <v>71</v>
      </c>
      <c r="B39" s="1101" t="s">
        <v>72</v>
      </c>
      <c r="C39" s="1084">
        <f>+Gastos!J53</f>
        <v>0</v>
      </c>
      <c r="D39" s="1082"/>
      <c r="E39" s="1086" t="e">
        <f t="shared" si="20"/>
        <v>#DIV/0!</v>
      </c>
      <c r="F39" s="1076"/>
      <c r="G39" s="1084">
        <f>+'Gastos Proyecciones'!H36</f>
        <v>0</v>
      </c>
      <c r="H39" s="1084">
        <f>+'Gastos Proyecciones'!I36</f>
        <v>0</v>
      </c>
      <c r="I39" s="1084">
        <f>+'Gastos Proyecciones'!J36</f>
        <v>0</v>
      </c>
      <c r="J39" s="1084">
        <f>+'Gastos Proyecciones'!K36</f>
        <v>0</v>
      </c>
      <c r="K39" s="1084">
        <f>+'Gastos Proyecciones'!L36</f>
        <v>0</v>
      </c>
      <c r="L39" s="1084">
        <f>+'Gastos Proyecciones'!M36</f>
        <v>0</v>
      </c>
      <c r="M39" s="1084">
        <f>+'Gastos Proyecciones'!N36</f>
        <v>0</v>
      </c>
      <c r="N39" s="1084">
        <f>+'Gastos Proyecciones'!O36</f>
        <v>0</v>
      </c>
      <c r="O39" s="1084">
        <f>+'Gastos Proyecciones'!P36</f>
        <v>0</v>
      </c>
      <c r="P39" s="1084">
        <f>+'Gastos Proyecciones'!Q36</f>
        <v>0</v>
      </c>
      <c r="Q39" s="1084">
        <f>+'Gastos Proyecciones'!R36</f>
        <v>0</v>
      </c>
      <c r="R39" s="1084">
        <f>+'Gastos Proyecciones'!S36</f>
        <v>0</v>
      </c>
      <c r="S39" s="1084">
        <f>+'Gastos Proyecciones'!T36</f>
        <v>0</v>
      </c>
      <c r="T39" s="1084">
        <f>+'Gastos Proyecciones'!U36</f>
        <v>0</v>
      </c>
      <c r="U39" s="1084">
        <f>+'Gastos Proyecciones'!V36</f>
        <v>0</v>
      </c>
      <c r="V39" s="1084">
        <f>+'Gastos Proyecciones'!W36</f>
        <v>0</v>
      </c>
    </row>
    <row r="40" spans="1:22" hidden="1">
      <c r="A40" s="1071" t="s">
        <v>73</v>
      </c>
      <c r="B40" s="1101" t="s">
        <v>74</v>
      </c>
      <c r="C40" s="1084">
        <f>+Gastos!J54</f>
        <v>0</v>
      </c>
      <c r="D40" s="1082"/>
      <c r="E40" s="1086" t="e">
        <f t="shared" si="20"/>
        <v>#DIV/0!</v>
      </c>
      <c r="F40" s="1076"/>
      <c r="G40" s="1084">
        <f>+'Gastos Proyecciones'!H37</f>
        <v>0</v>
      </c>
      <c r="H40" s="1084">
        <f>+'Gastos Proyecciones'!I37</f>
        <v>0</v>
      </c>
      <c r="I40" s="1084">
        <f>+'Gastos Proyecciones'!J37</f>
        <v>0</v>
      </c>
      <c r="J40" s="1084">
        <f>+'Gastos Proyecciones'!K37</f>
        <v>0</v>
      </c>
      <c r="K40" s="1084">
        <f>+'Gastos Proyecciones'!L37</f>
        <v>0</v>
      </c>
      <c r="L40" s="1084">
        <f>+'Gastos Proyecciones'!M37</f>
        <v>0</v>
      </c>
      <c r="M40" s="1084">
        <f>+'Gastos Proyecciones'!N37</f>
        <v>0</v>
      </c>
      <c r="N40" s="1084">
        <f>+'Gastos Proyecciones'!O37</f>
        <v>0</v>
      </c>
      <c r="O40" s="1084">
        <f>+'Gastos Proyecciones'!P37</f>
        <v>0</v>
      </c>
      <c r="P40" s="1084">
        <f>+'Gastos Proyecciones'!Q37</f>
        <v>0</v>
      </c>
      <c r="Q40" s="1084">
        <f>+'Gastos Proyecciones'!R37</f>
        <v>0</v>
      </c>
      <c r="R40" s="1084">
        <f>+'Gastos Proyecciones'!S37</f>
        <v>0</v>
      </c>
      <c r="S40" s="1084">
        <f>+'Gastos Proyecciones'!T37</f>
        <v>0</v>
      </c>
      <c r="T40" s="1084">
        <f>+'Gastos Proyecciones'!U37</f>
        <v>0</v>
      </c>
      <c r="U40" s="1084">
        <f>+'Gastos Proyecciones'!V37</f>
        <v>0</v>
      </c>
      <c r="V40" s="1084">
        <f>+'Gastos Proyecciones'!W37</f>
        <v>0</v>
      </c>
    </row>
    <row r="41" spans="1:22">
      <c r="A41" s="1074" t="s">
        <v>75</v>
      </c>
      <c r="B41" s="1101" t="s">
        <v>365</v>
      </c>
      <c r="C41" s="1084">
        <f>+Gastos!J55+Gastos!J56+Gastos!J224</f>
        <v>0</v>
      </c>
      <c r="D41" s="1082"/>
      <c r="E41" s="1086" t="e">
        <f t="shared" si="20"/>
        <v>#DIV/0!</v>
      </c>
      <c r="F41" s="1076"/>
      <c r="G41" s="1084">
        <f>+'Gastos Proyecciones'!H38+'Gastos Proyecciones'!H39+'Gastos Proyecciones'!H187</f>
        <v>129470</v>
      </c>
      <c r="H41" s="1084">
        <f>+'Gastos Proyecciones'!I38+'Gastos Proyecciones'!I39+'Gastos Proyecciones'!I187</f>
        <v>157103</v>
      </c>
      <c r="I41" s="1084">
        <f>+'Gastos Proyecciones'!J38+'Gastos Proyecciones'!J39+'Gastos Proyecciones'!J187</f>
        <v>163387.12</v>
      </c>
      <c r="J41" s="1084">
        <f>+'Gastos Proyecciones'!K38+'Gastos Proyecciones'!K39+'Gastos Proyecciones'!K187</f>
        <v>169922.6048</v>
      </c>
      <c r="K41" s="1084">
        <f>+'Gastos Proyecciones'!L38+'Gastos Proyecciones'!L39+'Gastos Proyecciones'!L187</f>
        <v>195178.02752</v>
      </c>
      <c r="L41" s="1084">
        <f>+'Gastos Proyecciones'!M38+'Gastos Proyecciones'!M39+'Gastos Proyecciones'!M187</f>
        <v>202985.1486208</v>
      </c>
      <c r="M41" s="1084">
        <f>+'Gastos Proyecciones'!N38+'Gastos Proyecciones'!N39+'Gastos Proyecciones'!N187</f>
        <v>211104.55456563202</v>
      </c>
      <c r="N41" s="1084">
        <f>+'Gastos Proyecciones'!O38+'Gastos Proyecciones'!O39+'Gastos Proyecciones'!O187</f>
        <v>219548.7367482573</v>
      </c>
      <c r="O41" s="1084">
        <f>+'Gastos Proyecciones'!P38+'Gastos Proyecciones'!P39+'Gastos Proyecciones'!P187</f>
        <v>228330.68621818762</v>
      </c>
      <c r="P41" s="1084">
        <f>+'Gastos Proyecciones'!Q38+'Gastos Proyecciones'!Q39+'Gastos Proyecciones'!Q187</f>
        <v>237463.91366691515</v>
      </c>
      <c r="Q41" s="1084">
        <f>+'Gastos Proyecciones'!R38+'Gastos Proyecciones'!R39+'Gastos Proyecciones'!R187</f>
        <v>246962.47021359176</v>
      </c>
      <c r="R41" s="1084">
        <f>+'Gastos Proyecciones'!S38+'Gastos Proyecciones'!S39+'Gastos Proyecciones'!S187</f>
        <v>256840.96902213548</v>
      </c>
      <c r="S41" s="1084">
        <f>+'Gastos Proyecciones'!T38+'Gastos Proyecciones'!T39+'Gastos Proyecciones'!T187</f>
        <v>267114.60778302094</v>
      </c>
      <c r="T41" s="1084">
        <f>+'Gastos Proyecciones'!U38+'Gastos Proyecciones'!U39+'Gastos Proyecciones'!U187</f>
        <v>277799.19209434174</v>
      </c>
      <c r="U41" s="1084">
        <f>+'Gastos Proyecciones'!V38+'Gastos Proyecciones'!V39+'Gastos Proyecciones'!V187</f>
        <v>288911.15977811546</v>
      </c>
      <c r="V41" s="1084">
        <f>+'Gastos Proyecciones'!W38+'Gastos Proyecciones'!W39+'Gastos Proyecciones'!W187</f>
        <v>300467.60616924008</v>
      </c>
    </row>
    <row r="42" spans="1:22">
      <c r="A42" s="1071" t="s">
        <v>76</v>
      </c>
      <c r="B42" s="1101" t="str">
        <f>+'Gastos Proyecciones'!B48</f>
        <v xml:space="preserve">   Cuentas por pagar vigencias anteriores</v>
      </c>
      <c r="C42" s="1084">
        <f>+Gastos!J65</f>
        <v>0</v>
      </c>
      <c r="D42" s="1082"/>
      <c r="E42" s="1086" t="e">
        <f t="shared" si="20"/>
        <v>#DIV/0!</v>
      </c>
      <c r="F42" s="1076"/>
      <c r="G42" s="1084">
        <f>+'Gastos Proyecciones'!H48</f>
        <v>10000</v>
      </c>
      <c r="H42" s="1084">
        <f>+'Gastos Proyecciones'!I48</f>
        <v>10400</v>
      </c>
      <c r="I42" s="1084">
        <f>+'Gastos Proyecciones'!J48</f>
        <v>10400</v>
      </c>
      <c r="J42" s="1084">
        <f>+'Gastos Proyecciones'!K48</f>
        <v>10816</v>
      </c>
      <c r="K42" s="1084">
        <f>+'Gastos Proyecciones'!L48</f>
        <v>5000</v>
      </c>
      <c r="L42" s="1084">
        <f>+'Gastos Proyecciones'!M48</f>
        <v>5200</v>
      </c>
      <c r="M42" s="1084">
        <f>+'Gastos Proyecciones'!N48</f>
        <v>5408</v>
      </c>
      <c r="N42" s="1084">
        <f>+'Gastos Proyecciones'!O48</f>
        <v>5624.3200000000006</v>
      </c>
      <c r="O42" s="1084">
        <f>+'Gastos Proyecciones'!P48</f>
        <v>5849.2928000000011</v>
      </c>
      <c r="P42" s="1084">
        <f>+'Gastos Proyecciones'!Q48</f>
        <v>6083.2645120000016</v>
      </c>
      <c r="Q42" s="1084">
        <f>+'Gastos Proyecciones'!R48</f>
        <v>6326.5950924800018</v>
      </c>
      <c r="R42" s="1084">
        <f>+'Gastos Proyecciones'!S48</f>
        <v>6579.6588961792022</v>
      </c>
      <c r="S42" s="1084">
        <f>+'Gastos Proyecciones'!T48</f>
        <v>6842.8452520263709</v>
      </c>
      <c r="T42" s="1084">
        <f>+'Gastos Proyecciones'!U48</f>
        <v>7116.5590621074261</v>
      </c>
      <c r="U42" s="1084">
        <f>+'Gastos Proyecciones'!V48</f>
        <v>7401.221424591723</v>
      </c>
      <c r="V42" s="1084">
        <f>+'Gastos Proyecciones'!W48</f>
        <v>7697.2702815753919</v>
      </c>
    </row>
    <row r="43" spans="1:22">
      <c r="A43" s="1071" t="str">
        <f>+Gastos!A66</f>
        <v>21305</v>
      </c>
      <c r="B43" s="1101" t="str">
        <f>+'Gastos Proyecciones'!B49</f>
        <v xml:space="preserve">   Mesadas Pensionales</v>
      </c>
      <c r="C43" s="1084">
        <f>+Gastos!J66</f>
        <v>0</v>
      </c>
      <c r="D43" s="1088"/>
      <c r="E43" s="1086" t="e">
        <f>+C43/$C$36</f>
        <v>#DIV/0!</v>
      </c>
      <c r="F43" s="1076"/>
      <c r="G43" s="1084">
        <f>+'Gastos Proyecciones'!H49</f>
        <v>28000</v>
      </c>
      <c r="H43" s="1084">
        <f>+'Gastos Proyecciones'!I49</f>
        <v>29120</v>
      </c>
      <c r="I43" s="1084">
        <f>+'Gastos Proyecciones'!J49</f>
        <v>30284.799999999999</v>
      </c>
      <c r="J43" s="1084">
        <f>+'Gastos Proyecciones'!K49</f>
        <v>31496.191999999999</v>
      </c>
      <c r="K43" s="1084">
        <f>+'Gastos Proyecciones'!L49</f>
        <v>31496</v>
      </c>
      <c r="L43" s="1084">
        <f>+'Gastos Proyecciones'!M49</f>
        <v>32755.84</v>
      </c>
      <c r="M43" s="1084">
        <f>+'Gastos Proyecciones'!N49</f>
        <v>34066.073600000003</v>
      </c>
      <c r="N43" s="1084">
        <f>+'Gastos Proyecciones'!O49</f>
        <v>35428.716544000003</v>
      </c>
      <c r="O43" s="1084">
        <f>+'Gastos Proyecciones'!P49</f>
        <v>36845.865205760005</v>
      </c>
      <c r="P43" s="1084">
        <f>+'Gastos Proyecciones'!Q49</f>
        <v>38319.699813990403</v>
      </c>
      <c r="Q43" s="1084">
        <f>+'Gastos Proyecciones'!R49</f>
        <v>39852.487806550023</v>
      </c>
      <c r="R43" s="1084">
        <f>+'Gastos Proyecciones'!S49</f>
        <v>41446.587318812024</v>
      </c>
      <c r="S43" s="1084">
        <f>+'Gastos Proyecciones'!T49</f>
        <v>43104.450811564508</v>
      </c>
      <c r="T43" s="1084">
        <f>+'Gastos Proyecciones'!U49</f>
        <v>44828.628844027087</v>
      </c>
      <c r="U43" s="1084">
        <f>+'Gastos Proyecciones'!V49</f>
        <v>46621.773997788172</v>
      </c>
      <c r="V43" s="1084">
        <f>+'Gastos Proyecciones'!W49</f>
        <v>48486.644957699704</v>
      </c>
    </row>
    <row r="44" spans="1:22">
      <c r="A44" s="1071" t="str">
        <f>+Gastos!A68</f>
        <v>21306</v>
      </c>
      <c r="B44" s="1101" t="s">
        <v>77</v>
      </c>
      <c r="C44" s="1084">
        <f>+Gastos!J68</f>
        <v>0</v>
      </c>
      <c r="D44" s="1082"/>
      <c r="E44" s="1086" t="e">
        <f>+C44/C36</f>
        <v>#DIV/0!</v>
      </c>
      <c r="F44" s="1076"/>
      <c r="G44" s="1084">
        <f>+'Gastos Proyecciones'!H50</f>
        <v>53902</v>
      </c>
      <c r="H44" s="1084">
        <f>+'Gastos Proyecciones'!I50</f>
        <v>50000</v>
      </c>
      <c r="I44" s="1084">
        <f>+'Gastos Proyecciones'!J50</f>
        <v>50000</v>
      </c>
      <c r="J44" s="1084">
        <f>+'Gastos Proyecciones'!K50</f>
        <v>52000</v>
      </c>
      <c r="K44" s="1084">
        <f>+'Gastos Proyecciones'!L50</f>
        <v>10000</v>
      </c>
      <c r="L44" s="1084">
        <f>+'Gastos Proyecciones'!M50</f>
        <v>10400</v>
      </c>
      <c r="M44" s="1084">
        <f>+'Gastos Proyecciones'!N50</f>
        <v>10816</v>
      </c>
      <c r="N44" s="1084">
        <f>+'Gastos Proyecciones'!O50</f>
        <v>11248.640000000001</v>
      </c>
      <c r="O44" s="1084">
        <f>+'Gastos Proyecciones'!P50</f>
        <v>11698.585600000002</v>
      </c>
      <c r="P44" s="1084">
        <f>+'Gastos Proyecciones'!Q50</f>
        <v>12166.529024000003</v>
      </c>
      <c r="Q44" s="1084">
        <f>+'Gastos Proyecciones'!R50</f>
        <v>12653.190184960004</v>
      </c>
      <c r="R44" s="1084">
        <f>+'Gastos Proyecciones'!S50</f>
        <v>13159.317792358404</v>
      </c>
      <c r="S44" s="1084">
        <f>+'Gastos Proyecciones'!T50</f>
        <v>13685.690504052742</v>
      </c>
      <c r="T44" s="1084">
        <f>+'Gastos Proyecciones'!U50</f>
        <v>14233.118124214852</v>
      </c>
      <c r="U44" s="1084">
        <f>+'Gastos Proyecciones'!V50</f>
        <v>14802.442849183446</v>
      </c>
      <c r="V44" s="1084">
        <f>+'Gastos Proyecciones'!W50</f>
        <v>15394.540563150784</v>
      </c>
    </row>
    <row r="45" spans="1:22">
      <c r="A45" s="1071" t="str">
        <f>+Gastos!A70</f>
        <v>21398</v>
      </c>
      <c r="B45" s="1101" t="s">
        <v>78</v>
      </c>
      <c r="C45" s="1084">
        <f>+Gastos!J57+Gastos!J63+Gastos!J64+Gastos!J70+Gastos!J232</f>
        <v>0</v>
      </c>
      <c r="D45" s="1082"/>
      <c r="E45" s="1086" t="e">
        <f>+C45/C36</f>
        <v>#DIV/0!</v>
      </c>
      <c r="F45" s="1076"/>
      <c r="G45" s="1084">
        <f>+'Gastos Proyecciones'!H40+'Gastos Proyecciones'!H46+'Gastos Proyecciones'!H47+'Gastos Proyecciones'!H51+'Gastos Proyecciones'!H195</f>
        <v>7300</v>
      </c>
      <c r="H45" s="1084">
        <f>+'Gastos Proyecciones'!I40+'Gastos Proyecciones'!I46+'Gastos Proyecciones'!I47+'Gastos Proyecciones'!I51+'Gastos Proyecciones'!I195</f>
        <v>7592</v>
      </c>
      <c r="I45" s="1084">
        <f>+'Gastos Proyecciones'!J40+'Gastos Proyecciones'!J46+'Gastos Proyecciones'!J47+'Gastos Proyecciones'!J51+'Gastos Proyecciones'!J195</f>
        <v>7592</v>
      </c>
      <c r="J45" s="1084">
        <f>+'Gastos Proyecciones'!K40+'Gastos Proyecciones'!K46+'Gastos Proyecciones'!K47+'Gastos Proyecciones'!K51+'Gastos Proyecciones'!K195</f>
        <v>7895.68</v>
      </c>
      <c r="K45" s="1084">
        <f>+'Gastos Proyecciones'!L40+'Gastos Proyecciones'!L46+'Gastos Proyecciones'!L47+'Gastos Proyecciones'!L51+'Gastos Proyecciones'!L195</f>
        <v>19669</v>
      </c>
      <c r="L45" s="1084">
        <f>+'Gastos Proyecciones'!M40+'Gastos Proyecciones'!M46+'Gastos Proyecciones'!M47+'Gastos Proyecciones'!M51+'Gastos Proyecciones'!M195</f>
        <v>20455.760000000002</v>
      </c>
      <c r="M45" s="1084">
        <f>+'Gastos Proyecciones'!N40+'Gastos Proyecciones'!N46+'Gastos Proyecciones'!N47+'Gastos Proyecciones'!N51+'Gastos Proyecciones'!N195</f>
        <v>21273.990400000002</v>
      </c>
      <c r="N45" s="1084">
        <f>+'Gastos Proyecciones'!O40+'Gastos Proyecciones'!O46+'Gastos Proyecciones'!O47+'Gastos Proyecciones'!O51+'Gastos Proyecciones'!O195</f>
        <v>22124.950016000003</v>
      </c>
      <c r="O45" s="1084">
        <f>+'Gastos Proyecciones'!P40+'Gastos Proyecciones'!P46+'Gastos Proyecciones'!P47+'Gastos Proyecciones'!P51+'Gastos Proyecciones'!P195</f>
        <v>23009.948016640003</v>
      </c>
      <c r="P45" s="1084">
        <f>+'Gastos Proyecciones'!Q40+'Gastos Proyecciones'!Q46+'Gastos Proyecciones'!Q47+'Gastos Proyecciones'!Q51+'Gastos Proyecciones'!Q195</f>
        <v>23930.345937305603</v>
      </c>
      <c r="Q45" s="1084">
        <f>+'Gastos Proyecciones'!R40+'Gastos Proyecciones'!R46+'Gastos Proyecciones'!R47+'Gastos Proyecciones'!R51+'Gastos Proyecciones'!R195</f>
        <v>24887.559774797828</v>
      </c>
      <c r="R45" s="1084">
        <f>+'Gastos Proyecciones'!S40+'Gastos Proyecciones'!S46+'Gastos Proyecciones'!S47+'Gastos Proyecciones'!S51+'Gastos Proyecciones'!S195</f>
        <v>25883.062165789743</v>
      </c>
      <c r="S45" s="1084">
        <f>+'Gastos Proyecciones'!T40+'Gastos Proyecciones'!T46+'Gastos Proyecciones'!T47+'Gastos Proyecciones'!T51+'Gastos Proyecciones'!T195</f>
        <v>26918.384652421333</v>
      </c>
      <c r="T45" s="1084">
        <f>+'Gastos Proyecciones'!U40+'Gastos Proyecciones'!U46+'Gastos Proyecciones'!U47+'Gastos Proyecciones'!U51+'Gastos Proyecciones'!U195</f>
        <v>27995.120038518187</v>
      </c>
      <c r="U45" s="1084">
        <f>+'Gastos Proyecciones'!V40+'Gastos Proyecciones'!V46+'Gastos Proyecciones'!V47+'Gastos Proyecciones'!V51+'Gastos Proyecciones'!V195</f>
        <v>29114.924840058917</v>
      </c>
      <c r="V45" s="1084">
        <f>+'Gastos Proyecciones'!W40+'Gastos Proyecciones'!W46+'Gastos Proyecciones'!W47+'Gastos Proyecciones'!W51+'Gastos Proyecciones'!W195</f>
        <v>30279.521833661274</v>
      </c>
    </row>
    <row r="46" spans="1:22">
      <c r="A46" s="1071" t="s">
        <v>79</v>
      </c>
      <c r="B46" s="1110" t="s">
        <v>80</v>
      </c>
      <c r="C46" s="1077" t="e">
        <f>+C47+#REF!</f>
        <v>#REF!</v>
      </c>
      <c r="D46" s="1082"/>
      <c r="E46" s="1078" t="e">
        <f>+C46/C87</f>
        <v>#REF!</v>
      </c>
      <c r="F46" s="1076"/>
      <c r="G46" s="1077" t="e">
        <f>+G47+#REF!</f>
        <v>#REF!</v>
      </c>
      <c r="H46" s="1077">
        <f>+H47</f>
        <v>69000</v>
      </c>
      <c r="I46" s="1077">
        <f t="shared" ref="I46:V46" si="21">+I47</f>
        <v>65000</v>
      </c>
      <c r="J46" s="1077">
        <f t="shared" si="21"/>
        <v>24000</v>
      </c>
      <c r="K46" s="1077">
        <f t="shared" si="21"/>
        <v>33000</v>
      </c>
      <c r="L46" s="1077">
        <f t="shared" si="21"/>
        <v>4035</v>
      </c>
      <c r="M46" s="1077">
        <f t="shared" si="21"/>
        <v>4000</v>
      </c>
      <c r="N46" s="1077">
        <f t="shared" si="21"/>
        <v>3000</v>
      </c>
      <c r="O46" s="1077">
        <f t="shared" si="21"/>
        <v>0</v>
      </c>
      <c r="P46" s="1077">
        <f t="shared" si="21"/>
        <v>0</v>
      </c>
      <c r="Q46" s="1077">
        <f t="shared" si="21"/>
        <v>0</v>
      </c>
      <c r="R46" s="1077">
        <f t="shared" si="21"/>
        <v>0</v>
      </c>
      <c r="S46" s="1077">
        <f t="shared" si="21"/>
        <v>0</v>
      </c>
      <c r="T46" s="1077">
        <f t="shared" si="21"/>
        <v>0</v>
      </c>
      <c r="U46" s="1077">
        <f t="shared" si="21"/>
        <v>0</v>
      </c>
      <c r="V46" s="1077">
        <f t="shared" si="21"/>
        <v>0</v>
      </c>
    </row>
    <row r="47" spans="1:22">
      <c r="A47" s="369" t="s">
        <v>81</v>
      </c>
      <c r="B47" s="1101" t="s">
        <v>82</v>
      </c>
      <c r="C47" s="1084">
        <f>+Gastos!J204+Gastos!J205</f>
        <v>0</v>
      </c>
      <c r="D47" s="1082"/>
      <c r="E47" s="1086" t="e">
        <f>+C47/C46</f>
        <v>#REF!</v>
      </c>
      <c r="F47" s="1076"/>
      <c r="G47" s="1084">
        <f>+'Gastos Proyecciones'!H185</f>
        <v>127000</v>
      </c>
      <c r="H47" s="1084">
        <f>+'Gastos Proyecciones'!I185</f>
        <v>69000</v>
      </c>
      <c r="I47" s="1084">
        <f>+'Gastos Proyecciones'!J185</f>
        <v>65000</v>
      </c>
      <c r="J47" s="1084">
        <f>+'Gastos Proyecciones'!K185</f>
        <v>24000</v>
      </c>
      <c r="K47" s="1084">
        <f>+'Gastos Proyecciones'!L185</f>
        <v>33000</v>
      </c>
      <c r="L47" s="1084">
        <f>+'Gastos Proyecciones'!M185</f>
        <v>4035</v>
      </c>
      <c r="M47" s="1084">
        <f>+'Gastos Proyecciones'!N185</f>
        <v>4000</v>
      </c>
      <c r="N47" s="1084">
        <f>+'Gastos Proyecciones'!O185</f>
        <v>3000</v>
      </c>
      <c r="O47" s="1084">
        <f>+'Gastos Proyecciones'!P185+'Gastos Proyecciones'!P184</f>
        <v>0</v>
      </c>
      <c r="P47" s="1084">
        <f>+'Gastos Proyecciones'!Q185+'Gastos Proyecciones'!Q184</f>
        <v>0</v>
      </c>
      <c r="Q47" s="1084">
        <f>+'Gastos Proyecciones'!R185+'Gastos Proyecciones'!R184</f>
        <v>0</v>
      </c>
      <c r="R47" s="1084">
        <f>+'Gastos Proyecciones'!S185+'Gastos Proyecciones'!S184</f>
        <v>0</v>
      </c>
      <c r="S47" s="1084">
        <f>+'Gastos Proyecciones'!T185+'Gastos Proyecciones'!T184</f>
        <v>0</v>
      </c>
      <c r="T47" s="1084">
        <f>+'Gastos Proyecciones'!U185+'Gastos Proyecciones'!U184</f>
        <v>0</v>
      </c>
      <c r="U47" s="1084">
        <f>+'Gastos Proyecciones'!V185+'Gastos Proyecciones'!V184</f>
        <v>0</v>
      </c>
      <c r="V47" s="1084">
        <f>+'Gastos Proyecciones'!W185+'Gastos Proyecciones'!W184</f>
        <v>0</v>
      </c>
    </row>
    <row r="48" spans="1:22" s="456" customFormat="1" ht="33.75">
      <c r="A48" s="369" t="s">
        <v>83</v>
      </c>
      <c r="B48" s="1100" t="s">
        <v>86</v>
      </c>
      <c r="C48" s="1077">
        <f>+Gastos!J79+Gastos!J80+Gastos!J81+Gastos!J86+Gastos!J87+Gastos!J88+Gastos!J91+Gastos!J105+Gastos!J128+Gastos!J142+Gastos!J165+Gastos!J179</f>
        <v>0</v>
      </c>
      <c r="D48" s="1082"/>
      <c r="E48" s="1078" t="e">
        <f>+C48/C87</f>
        <v>#REF!</v>
      </c>
      <c r="F48" s="1076"/>
      <c r="G48" s="1077">
        <f>+'Gastos Proyecciones'!H60+'Gastos Proyecciones'!H61+'Gastos Proyecciones'!H62+'Gastos Proyecciones'!H67+'Gastos Proyecciones'!H68+'Gastos Proyecciones'!H69+'Gastos Proyecciones'!H72+'Gastos Proyecciones'!H86+'Gastos Proyecciones'!H109+'Gastos Proyecciones'!H123+'Gastos Proyecciones'!H146+'Gastos Proyecciones'!H160</f>
        <v>2854148</v>
      </c>
      <c r="H48" s="1077">
        <f>+'Gastos Proyecciones'!I64+'Gastos Proyecciones'!I184+'Gastos Proyecciones'!I108+'Gastos Proyecciones'!I57-'Gastos Proyecciones'!I123</f>
        <v>3565670</v>
      </c>
      <c r="I48" s="1077">
        <f>+'Gastos Proyecciones'!J64+'Gastos Proyecciones'!J184+'Gastos Proyecciones'!J108+'Gastos Proyecciones'!J57-'Gastos Proyecciones'!J123</f>
        <v>3810333.8</v>
      </c>
      <c r="J48" s="1077">
        <f>+'Gastos Proyecciones'!K64+'Gastos Proyecciones'!K184+'Gastos Proyecciones'!K108+'Gastos Proyecciones'!K57-'Gastos Proyecciones'!K123</f>
        <v>3823067.1519999998</v>
      </c>
      <c r="K48" s="1077">
        <f>+'Gastos Proyecciones'!L64+'Gastos Proyecciones'!L184+'Gastos Proyecciones'!L108+'Gastos Proyecciones'!L57-'Gastos Proyecciones'!L123</f>
        <v>4194589.8380800001</v>
      </c>
      <c r="L48" s="1077">
        <f>+'Gastos Proyecciones'!M64+'Gastos Proyecciones'!M184+'Gastos Proyecciones'!M108+'Gastos Proyecciones'!M57-'Gastos Proyecciones'!M123</f>
        <v>4168097.7508992003</v>
      </c>
      <c r="M48" s="1077">
        <f>+'Gastos Proyecciones'!N64+'Gastos Proyecciones'!N184+'Gastos Proyecciones'!N108+'Gastos Proyecciones'!N57-'Gastos Proyecciones'!N123</f>
        <v>4361018.0609351685</v>
      </c>
      <c r="N48" s="1077">
        <f>+'Gastos Proyecciones'!O64+'Gastos Proyecciones'!O184+'Gastos Proyecciones'!O108+'Gastos Proyecciones'!O57-'Gastos Proyecciones'!O123</f>
        <v>4481458.7833725754</v>
      </c>
      <c r="O48" s="1077">
        <f>+'Gastos Proyecciones'!P64+'Gastos Proyecciones'!P184+'Gastos Proyecciones'!P108+'Gastos Proyecciones'!P57-'Gastos Proyecciones'!P123</f>
        <v>4608717.1347074779</v>
      </c>
      <c r="P48" s="1077">
        <f>+'Gastos Proyecciones'!Q64+'Gastos Proyecciones'!Q184+'Gastos Proyecciones'!Q108+'Gastos Proyecciones'!Q57-'Gastos Proyecciones'!Q123</f>
        <v>4793065.8200957766</v>
      </c>
      <c r="Q48" s="1077">
        <f>+'Gastos Proyecciones'!R64+'Gastos Proyecciones'!R184+'Gastos Proyecciones'!R108+'Gastos Proyecciones'!R57-'Gastos Proyecciones'!R123</f>
        <v>4984788.4528996088</v>
      </c>
      <c r="R48" s="1077">
        <f>+'Gastos Proyecciones'!S64+'Gastos Proyecciones'!S184+'Gastos Proyecciones'!S108+'Gastos Proyecciones'!S57-'Gastos Proyecciones'!S123</f>
        <v>5184179.9910155926</v>
      </c>
      <c r="S48" s="1077">
        <f>+'Gastos Proyecciones'!T64+'Gastos Proyecciones'!T184+'Gastos Proyecciones'!T108+'Gastos Proyecciones'!T57-'Gastos Proyecciones'!T123</f>
        <v>5391547.1906562177</v>
      </c>
      <c r="T48" s="1077">
        <f>+'Gastos Proyecciones'!U64+'Gastos Proyecciones'!U184+'Gastos Proyecciones'!U108+'Gastos Proyecciones'!U57-'Gastos Proyecciones'!U123</f>
        <v>5607209.0782824652</v>
      </c>
      <c r="U48" s="1077">
        <f>+'Gastos Proyecciones'!V64+'Gastos Proyecciones'!V184+'Gastos Proyecciones'!V108+'Gastos Proyecciones'!V57-'Gastos Proyecciones'!V123</f>
        <v>5831497.4414137648</v>
      </c>
      <c r="V48" s="1077">
        <f>+'Gastos Proyecciones'!W64+'Gastos Proyecciones'!W184+'Gastos Proyecciones'!W108+'Gastos Proyecciones'!W57-'Gastos Proyecciones'!W123</f>
        <v>6064757.3390703155</v>
      </c>
    </row>
    <row r="49" spans="1:22" ht="14.25" hidden="1" customHeight="1" thickBot="1">
      <c r="A49" s="1071" t="str">
        <f>+Gastos!A71</f>
        <v>217</v>
      </c>
      <c r="B49" s="1110" t="s">
        <v>87</v>
      </c>
      <c r="C49" s="1077">
        <f>+Gastos!J71</f>
        <v>0</v>
      </c>
      <c r="D49" s="1082"/>
      <c r="E49" s="1078" t="e">
        <f>+C49/C87</f>
        <v>#REF!</v>
      </c>
      <c r="F49" s="1076"/>
      <c r="G49" s="1077">
        <f>+'Gastos Proyecciones'!H52</f>
        <v>0</v>
      </c>
      <c r="H49" s="1077">
        <f>+'Gastos Proyecciones'!I52</f>
        <v>0</v>
      </c>
      <c r="I49" s="1077">
        <f>+'Gastos Proyecciones'!J52</f>
        <v>0</v>
      </c>
      <c r="J49" s="1077">
        <f>+'Gastos Proyecciones'!K52</f>
        <v>0</v>
      </c>
      <c r="K49" s="1077">
        <f>+'Gastos Proyecciones'!L52</f>
        <v>0</v>
      </c>
      <c r="L49" s="1077">
        <f>+'Gastos Proyecciones'!M52</f>
        <v>0</v>
      </c>
      <c r="M49" s="1077">
        <f>+'Gastos Proyecciones'!N52</f>
        <v>0</v>
      </c>
      <c r="N49" s="1077">
        <f>+'Gastos Proyecciones'!O52</f>
        <v>0</v>
      </c>
      <c r="O49" s="1077">
        <f>+'Gastos Proyecciones'!P52</f>
        <v>0</v>
      </c>
      <c r="P49" s="1077">
        <f>+'Gastos Proyecciones'!Q52</f>
        <v>0</v>
      </c>
      <c r="Q49" s="1077">
        <f>+'Gastos Proyecciones'!R52</f>
        <v>0</v>
      </c>
      <c r="R49" s="1077">
        <f>+'Gastos Proyecciones'!S52</f>
        <v>0</v>
      </c>
      <c r="S49" s="1077">
        <f>+'Gastos Proyecciones'!T52</f>
        <v>0</v>
      </c>
      <c r="T49" s="1077">
        <f>+'Gastos Proyecciones'!U52</f>
        <v>0</v>
      </c>
      <c r="U49" s="1077">
        <f>+'Gastos Proyecciones'!V52</f>
        <v>0</v>
      </c>
      <c r="V49" s="1077">
        <f>+'Gastos Proyecciones'!W52</f>
        <v>0</v>
      </c>
    </row>
    <row r="50" spans="1:22" ht="13.5" customHeight="1">
      <c r="A50" s="369" t="s">
        <v>88</v>
      </c>
      <c r="B50" s="1110" t="s">
        <v>89</v>
      </c>
      <c r="C50" s="1077" t="e">
        <f>+C12-C32</f>
        <v>#REF!</v>
      </c>
      <c r="D50" s="1082"/>
      <c r="E50" s="1086"/>
      <c r="F50" s="1076"/>
      <c r="G50" s="1077" t="e">
        <f t="shared" ref="G50:O50" si="22">+G12-G32</f>
        <v>#REF!</v>
      </c>
      <c r="H50" s="1077">
        <f t="shared" si="22"/>
        <v>1356382</v>
      </c>
      <c r="I50" s="1077">
        <f t="shared" si="22"/>
        <v>1174766.6400000006</v>
      </c>
      <c r="J50" s="1077">
        <f t="shared" si="22"/>
        <v>1406076.3455999997</v>
      </c>
      <c r="K50" s="1077">
        <f t="shared" si="22"/>
        <v>1235679.4549759999</v>
      </c>
      <c r="L50" s="1077">
        <f t="shared" si="22"/>
        <v>1539067.4331750404</v>
      </c>
      <c r="M50" s="1077">
        <f t="shared" si="22"/>
        <v>1574630.1305020414</v>
      </c>
      <c r="N50" s="1077">
        <f t="shared" si="22"/>
        <v>1692775.3357221242</v>
      </c>
      <c r="O50" s="1077">
        <f t="shared" si="22"/>
        <v>1815606.3491510088</v>
      </c>
      <c r="P50" s="1077">
        <f t="shared" ref="P50:U50" si="23">+P12-P32</f>
        <v>1888230.6031170506</v>
      </c>
      <c r="Q50" s="1077">
        <f t="shared" si="23"/>
        <v>1963759.8272417318</v>
      </c>
      <c r="R50" s="1077">
        <f t="shared" si="23"/>
        <v>2042310.2203314006</v>
      </c>
      <c r="S50" s="1077">
        <f t="shared" si="23"/>
        <v>2124002.6291446555</v>
      </c>
      <c r="T50" s="1077">
        <f t="shared" si="23"/>
        <v>2208962.7343104435</v>
      </c>
      <c r="U50" s="1077">
        <f t="shared" si="23"/>
        <v>2297321.2436828604</v>
      </c>
      <c r="V50" s="1077">
        <f>+V12-V32</f>
        <v>2389215.0934301773</v>
      </c>
    </row>
    <row r="51" spans="1:22" ht="13.5" customHeight="1">
      <c r="A51" s="1071" t="str">
        <f>+Ingresos!A87</f>
        <v>12</v>
      </c>
      <c r="B51" s="1110" t="s">
        <v>90</v>
      </c>
      <c r="C51" s="1077">
        <f>SUM(C52:C58)</f>
        <v>0</v>
      </c>
      <c r="D51" s="1088"/>
      <c r="E51" s="1078" t="e">
        <f>+C51/C86</f>
        <v>#DIV/0!</v>
      </c>
      <c r="F51" s="1076"/>
      <c r="G51" s="1077">
        <f t="shared" ref="G51:O51" si="24">SUM(G52:G58)</f>
        <v>28662.399999999998</v>
      </c>
      <c r="H51" s="1077">
        <f t="shared" si="24"/>
        <v>562</v>
      </c>
      <c r="I51" s="1077">
        <f t="shared" si="24"/>
        <v>5000</v>
      </c>
      <c r="J51" s="1077">
        <f t="shared" si="24"/>
        <v>5200</v>
      </c>
      <c r="K51" s="1077">
        <f t="shared" si="24"/>
        <v>5408</v>
      </c>
      <c r="L51" s="1077">
        <f t="shared" si="24"/>
        <v>5625</v>
      </c>
      <c r="M51" s="1077">
        <f t="shared" si="24"/>
        <v>5850</v>
      </c>
      <c r="N51" s="1077">
        <f t="shared" si="24"/>
        <v>6084</v>
      </c>
      <c r="O51" s="1077">
        <f t="shared" si="24"/>
        <v>6327.3600000000006</v>
      </c>
      <c r="P51" s="1077">
        <f t="shared" ref="P51:U51" si="25">SUM(P52:P58)</f>
        <v>6580.4544000000005</v>
      </c>
      <c r="Q51" s="1077">
        <f t="shared" si="25"/>
        <v>6843.6725760000008</v>
      </c>
      <c r="R51" s="1077">
        <f t="shared" si="25"/>
        <v>7117.4194790400015</v>
      </c>
      <c r="S51" s="1077">
        <f t="shared" si="25"/>
        <v>7402.1162582016022</v>
      </c>
      <c r="T51" s="1077">
        <f t="shared" si="25"/>
        <v>7698.2009085296668</v>
      </c>
      <c r="U51" s="1077">
        <f t="shared" si="25"/>
        <v>8006.128944870854</v>
      </c>
      <c r="V51" s="1077">
        <f>SUM(V52:V58)</f>
        <v>8326.374102665688</v>
      </c>
    </row>
    <row r="52" spans="1:22">
      <c r="A52" s="1072" t="str">
        <f>+Ingresos!A89</f>
        <v>309A</v>
      </c>
      <c r="B52" s="1101" t="str">
        <f>+'Ingresos Proyecciones'!B80</f>
        <v xml:space="preserve">      Rendimientos de Operaciones Financieras</v>
      </c>
      <c r="C52" s="1084">
        <f>+Ingresos!H88+Ingresos!H89</f>
        <v>0</v>
      </c>
      <c r="D52" s="1082"/>
      <c r="E52" s="1086" t="e">
        <f>+C52/C51</f>
        <v>#DIV/0!</v>
      </c>
      <c r="F52" s="1076"/>
      <c r="G52" s="1084">
        <f>+'Ingresos Proyecciones'!H80+'Ingresos Proyecciones'!H81</f>
        <v>28121.599999999999</v>
      </c>
      <c r="H52" s="1084">
        <f>+'Ingresos Proyecciones'!I80+'Ingresos Proyecciones'!I81</f>
        <v>562</v>
      </c>
      <c r="I52" s="1084">
        <f>+'Ingresos Proyecciones'!J80+'Ingresos Proyecciones'!J81</f>
        <v>5000</v>
      </c>
      <c r="J52" s="1084">
        <f>+'Ingresos Proyecciones'!K80+'Ingresos Proyecciones'!K81</f>
        <v>5200</v>
      </c>
      <c r="K52" s="1084">
        <f>+'Ingresos Proyecciones'!L80+'Ingresos Proyecciones'!L81</f>
        <v>5408</v>
      </c>
      <c r="L52" s="1084">
        <f>+'Ingresos Proyecciones'!M80+'Ingresos Proyecciones'!M81</f>
        <v>5625</v>
      </c>
      <c r="M52" s="1084">
        <f>+'Ingresos Proyecciones'!N80+'Ingresos Proyecciones'!N81</f>
        <v>5850</v>
      </c>
      <c r="N52" s="1084">
        <f>+'Ingresos Proyecciones'!O80+'Ingresos Proyecciones'!O81</f>
        <v>6084</v>
      </c>
      <c r="O52" s="1084">
        <f>+'Ingresos Proyecciones'!P80+'Ingresos Proyecciones'!P81</f>
        <v>6327.3600000000006</v>
      </c>
      <c r="P52" s="1084">
        <f>+'Ingresos Proyecciones'!Q80+'Ingresos Proyecciones'!Q81</f>
        <v>6580.4544000000005</v>
      </c>
      <c r="Q52" s="1084">
        <f>+'Ingresos Proyecciones'!R80+'Ingresos Proyecciones'!R81</f>
        <v>6843.6725760000008</v>
      </c>
      <c r="R52" s="1084">
        <f>+'Ingresos Proyecciones'!S80+'Ingresos Proyecciones'!S81</f>
        <v>7117.4194790400015</v>
      </c>
      <c r="S52" s="1084">
        <f>+'Ingresos Proyecciones'!T80+'Ingresos Proyecciones'!T81</f>
        <v>7402.1162582016022</v>
      </c>
      <c r="T52" s="1084">
        <f>+'Ingresos Proyecciones'!U80+'Ingresos Proyecciones'!U81</f>
        <v>7698.2009085296668</v>
      </c>
      <c r="U52" s="1084">
        <f>+'Ingresos Proyecciones'!V80+'Ingresos Proyecciones'!V81</f>
        <v>8006.128944870854</v>
      </c>
      <c r="V52" s="1084">
        <f>+'Ingresos Proyecciones'!W80+'Ingresos Proyecciones'!W81</f>
        <v>8326.374102665688</v>
      </c>
    </row>
    <row r="53" spans="1:22" hidden="1">
      <c r="A53" s="1072" t="str">
        <f>+Ingresos!A90</f>
        <v>112050207</v>
      </c>
      <c r="B53" s="1101" t="s">
        <v>960</v>
      </c>
      <c r="C53" s="1084">
        <f>+Ingresos!H90</f>
        <v>0</v>
      </c>
      <c r="D53" s="1082"/>
      <c r="E53" s="1086" t="e">
        <f>+C53/C51</f>
        <v>#DIV/0!</v>
      </c>
      <c r="F53" s="1076"/>
      <c r="G53" s="1084">
        <f>+'Ingresos Proyecciones'!H82</f>
        <v>0</v>
      </c>
      <c r="H53" s="1084">
        <f>+'Ingresos Proyecciones'!I82</f>
        <v>0</v>
      </c>
      <c r="I53" s="1084">
        <f>+'Ingresos Proyecciones'!J82</f>
        <v>0</v>
      </c>
      <c r="J53" s="1084">
        <f>+'Ingresos Proyecciones'!K82</f>
        <v>0</v>
      </c>
      <c r="K53" s="1084">
        <f>+'Ingresos Proyecciones'!L82</f>
        <v>0</v>
      </c>
      <c r="L53" s="1084">
        <f>+'Ingresos Proyecciones'!M82</f>
        <v>0</v>
      </c>
      <c r="M53" s="1084">
        <f>+'Ingresos Proyecciones'!N82</f>
        <v>0</v>
      </c>
      <c r="N53" s="1084">
        <f>+'Ingresos Proyecciones'!O82</f>
        <v>0</v>
      </c>
      <c r="O53" s="1084">
        <f>+'Ingresos Proyecciones'!P82</f>
        <v>0</v>
      </c>
      <c r="P53" s="1084">
        <f>+'Ingresos Proyecciones'!Q82</f>
        <v>0</v>
      </c>
      <c r="Q53" s="1084">
        <f>+'Ingresos Proyecciones'!R82</f>
        <v>0</v>
      </c>
      <c r="R53" s="1084">
        <f>+'Ingresos Proyecciones'!S82</f>
        <v>0</v>
      </c>
      <c r="S53" s="1084">
        <f>+'Ingresos Proyecciones'!T82</f>
        <v>0</v>
      </c>
      <c r="T53" s="1084">
        <f>+'Ingresos Proyecciones'!U82</f>
        <v>0</v>
      </c>
      <c r="U53" s="1084">
        <f>+'Ingresos Proyecciones'!V82</f>
        <v>0</v>
      </c>
      <c r="V53" s="1084">
        <f>+'Ingresos Proyecciones'!W82</f>
        <v>0</v>
      </c>
    </row>
    <row r="54" spans="1:22" hidden="1">
      <c r="A54" s="1072" t="str">
        <f>+Ingresos!A129</f>
        <v>11205020105</v>
      </c>
      <c r="B54" s="1101" t="s">
        <v>91</v>
      </c>
      <c r="C54" s="1084">
        <f>+Ingresos!H129</f>
        <v>0</v>
      </c>
      <c r="D54" s="1081"/>
      <c r="E54" s="1086" t="e">
        <f>+C54/C51</f>
        <v>#DIV/0!</v>
      </c>
      <c r="F54" s="1076"/>
      <c r="G54" s="1084">
        <f>+'Ingresos Proyecciones'!H120</f>
        <v>0</v>
      </c>
      <c r="H54" s="1084">
        <f>+'Ingresos Proyecciones'!I120</f>
        <v>0</v>
      </c>
      <c r="I54" s="1084">
        <f>+'Ingresos Proyecciones'!J120</f>
        <v>0</v>
      </c>
      <c r="J54" s="1084">
        <f>+'Ingresos Proyecciones'!K120</f>
        <v>0</v>
      </c>
      <c r="K54" s="1084">
        <f>+'Ingresos Proyecciones'!L120</f>
        <v>0</v>
      </c>
      <c r="L54" s="1084">
        <f>+'Ingresos Proyecciones'!M120</f>
        <v>0</v>
      </c>
      <c r="M54" s="1084">
        <f>+'Ingresos Proyecciones'!N120</f>
        <v>0</v>
      </c>
      <c r="N54" s="1084">
        <f>+'Ingresos Proyecciones'!O120</f>
        <v>0</v>
      </c>
      <c r="O54" s="1084">
        <f>+'Ingresos Proyecciones'!P120</f>
        <v>0</v>
      </c>
      <c r="P54" s="1084">
        <f>+'Ingresos Proyecciones'!Q120</f>
        <v>0</v>
      </c>
      <c r="Q54" s="1084">
        <f>+'Ingresos Proyecciones'!R120</f>
        <v>0</v>
      </c>
      <c r="R54" s="1084">
        <f>+'Ingresos Proyecciones'!S120</f>
        <v>0</v>
      </c>
      <c r="S54" s="1084">
        <f>+'Ingresos Proyecciones'!T120</f>
        <v>0</v>
      </c>
      <c r="T54" s="1084">
        <f>+'Ingresos Proyecciones'!U120</f>
        <v>0</v>
      </c>
      <c r="U54" s="1084">
        <f>+'Ingresos Proyecciones'!V120</f>
        <v>0</v>
      </c>
      <c r="V54" s="1084">
        <f>+'Ingresos Proyecciones'!W120</f>
        <v>0</v>
      </c>
    </row>
    <row r="55" spans="1:22" hidden="1">
      <c r="A55" s="1072" t="str">
        <f>+Ingresos!A123</f>
        <v>123</v>
      </c>
      <c r="B55" s="1101" t="str">
        <f>+'Ingresos Proyecciones'!B114</f>
        <v xml:space="preserve">   Rendimiento de inversiones financieras</v>
      </c>
      <c r="C55" s="1084">
        <f>+Ingresos!H123</f>
        <v>0</v>
      </c>
      <c r="D55" s="1081"/>
      <c r="E55" s="1086" t="e">
        <f>+C55/C51</f>
        <v>#DIV/0!</v>
      </c>
      <c r="F55" s="1076"/>
      <c r="G55" s="1084">
        <f>+'Ingresos Proyecciones'!H114</f>
        <v>540.79999999999995</v>
      </c>
      <c r="H55" s="1084">
        <f>+'Ingresos Proyecciones'!I114</f>
        <v>0</v>
      </c>
      <c r="I55" s="1084">
        <f>+'Ingresos Proyecciones'!J114</f>
        <v>0</v>
      </c>
      <c r="J55" s="1084">
        <f>+'Ingresos Proyecciones'!K114</f>
        <v>0</v>
      </c>
      <c r="K55" s="1084">
        <f>+'Ingresos Proyecciones'!L114</f>
        <v>0</v>
      </c>
      <c r="L55" s="1084">
        <f>+'Ingresos Proyecciones'!M114</f>
        <v>0</v>
      </c>
      <c r="M55" s="1084">
        <f>+'Ingresos Proyecciones'!N114</f>
        <v>0</v>
      </c>
      <c r="N55" s="1084">
        <f>+'Ingresos Proyecciones'!O114</f>
        <v>0</v>
      </c>
      <c r="O55" s="1084">
        <f>+'Ingresos Proyecciones'!P114</f>
        <v>0</v>
      </c>
      <c r="P55" s="1084">
        <f>+'Ingresos Proyecciones'!Q114</f>
        <v>0</v>
      </c>
      <c r="Q55" s="1084">
        <f>+'Ingresos Proyecciones'!R114</f>
        <v>0</v>
      </c>
      <c r="R55" s="1084">
        <f>+'Ingresos Proyecciones'!S114</f>
        <v>0</v>
      </c>
      <c r="S55" s="1084">
        <f>+'Ingresos Proyecciones'!T114</f>
        <v>0</v>
      </c>
      <c r="T55" s="1084">
        <f>+'Ingresos Proyecciones'!U114</f>
        <v>0</v>
      </c>
      <c r="U55" s="1084">
        <f>+'Ingresos Proyecciones'!V114</f>
        <v>0</v>
      </c>
      <c r="V55" s="1084">
        <f>+'Ingresos Proyecciones'!W114</f>
        <v>0</v>
      </c>
    </row>
    <row r="56" spans="1:22" hidden="1">
      <c r="A56" s="1072" t="str">
        <f>+Ingresos!A125</f>
        <v>125</v>
      </c>
      <c r="B56" s="1101" t="s">
        <v>92</v>
      </c>
      <c r="C56" s="1084">
        <f>+Ingresos!H125</f>
        <v>0</v>
      </c>
      <c r="D56" s="1082"/>
      <c r="E56" s="1086" t="e">
        <f>+C56/C51</f>
        <v>#DIV/0!</v>
      </c>
      <c r="F56" s="1076"/>
      <c r="G56" s="1084">
        <f>+'Ingresos Proyecciones'!H116</f>
        <v>0</v>
      </c>
      <c r="H56" s="1084">
        <f>+'Ingresos Proyecciones'!I116</f>
        <v>0</v>
      </c>
      <c r="I56" s="1084">
        <f>+'Ingresos Proyecciones'!J116</f>
        <v>0</v>
      </c>
      <c r="J56" s="1084">
        <f>+'Ingresos Proyecciones'!K116</f>
        <v>0</v>
      </c>
      <c r="K56" s="1084">
        <f>+'Ingresos Proyecciones'!L116</f>
        <v>0</v>
      </c>
      <c r="L56" s="1084">
        <f>+'Ingresos Proyecciones'!M116</f>
        <v>0</v>
      </c>
      <c r="M56" s="1084">
        <f>+'Ingresos Proyecciones'!N116</f>
        <v>0</v>
      </c>
      <c r="N56" s="1084">
        <f>+'Ingresos Proyecciones'!O116</f>
        <v>0</v>
      </c>
      <c r="O56" s="1084">
        <f>+'Ingresos Proyecciones'!P116</f>
        <v>0</v>
      </c>
      <c r="P56" s="1084">
        <f>+'Ingresos Proyecciones'!Q116</f>
        <v>0</v>
      </c>
      <c r="Q56" s="1084">
        <f>+'Ingresos Proyecciones'!R116</f>
        <v>0</v>
      </c>
      <c r="R56" s="1084">
        <f>+'Ingresos Proyecciones'!S116</f>
        <v>0</v>
      </c>
      <c r="S56" s="1084">
        <f>+'Ingresos Proyecciones'!T116</f>
        <v>0</v>
      </c>
      <c r="T56" s="1084">
        <f>+'Ingresos Proyecciones'!U116</f>
        <v>0</v>
      </c>
      <c r="U56" s="1084">
        <f>+'Ingresos Proyecciones'!V116</f>
        <v>0</v>
      </c>
      <c r="V56" s="1084">
        <f>+'Ingresos Proyecciones'!W116</f>
        <v>0</v>
      </c>
    </row>
    <row r="57" spans="1:22" hidden="1">
      <c r="A57" s="1072" t="str">
        <f>+Ingresos!A111</f>
        <v>122</v>
      </c>
      <c r="B57" s="1101" t="s">
        <v>93</v>
      </c>
      <c r="C57" s="1084">
        <f>+Ingresos!H111</f>
        <v>0</v>
      </c>
      <c r="D57" s="1082"/>
      <c r="E57" s="1086" t="e">
        <f>+C57/C51</f>
        <v>#DIV/0!</v>
      </c>
      <c r="F57" s="1076"/>
      <c r="G57" s="1084">
        <f>+'Ingresos Proyecciones'!H103</f>
        <v>0</v>
      </c>
      <c r="H57" s="1084">
        <f>+'Ingresos Proyecciones'!I103</f>
        <v>0</v>
      </c>
      <c r="I57" s="1084">
        <f>+'Ingresos Proyecciones'!J103</f>
        <v>0</v>
      </c>
      <c r="J57" s="1084">
        <f>+'Ingresos Proyecciones'!K103</f>
        <v>0</v>
      </c>
      <c r="K57" s="1084">
        <f>+'Ingresos Proyecciones'!L103</f>
        <v>0</v>
      </c>
      <c r="L57" s="1084">
        <f>+'Ingresos Proyecciones'!M103</f>
        <v>0</v>
      </c>
      <c r="M57" s="1084">
        <f>+'Ingresos Proyecciones'!N103</f>
        <v>0</v>
      </c>
      <c r="N57" s="1084">
        <f>+'Ingresos Proyecciones'!O103</f>
        <v>0</v>
      </c>
      <c r="O57" s="1084">
        <f>+'Ingresos Proyecciones'!P103</f>
        <v>0</v>
      </c>
      <c r="P57" s="1084">
        <f>+'Ingresos Proyecciones'!Q103</f>
        <v>0</v>
      </c>
      <c r="Q57" s="1084">
        <f>+'Ingresos Proyecciones'!R103</f>
        <v>0</v>
      </c>
      <c r="R57" s="1084">
        <f>+'Ingresos Proyecciones'!S103</f>
        <v>0</v>
      </c>
      <c r="S57" s="1084">
        <f>+'Ingresos Proyecciones'!T103</f>
        <v>0</v>
      </c>
      <c r="T57" s="1084">
        <f>+'Ingresos Proyecciones'!U103</f>
        <v>0</v>
      </c>
      <c r="U57" s="1084">
        <f>+'Ingresos Proyecciones'!V103</f>
        <v>0</v>
      </c>
      <c r="V57" s="1084">
        <f>+'Ingresos Proyecciones'!W103</f>
        <v>0</v>
      </c>
    </row>
    <row r="58" spans="1:22" hidden="1">
      <c r="A58" s="1072" t="str">
        <f>+Ingresos!A130</f>
        <v>128</v>
      </c>
      <c r="B58" s="1101" t="s">
        <v>94</v>
      </c>
      <c r="C58" s="1084">
        <f>+Ingresos!H124+Ingresos!H128+Ingresos!H130</f>
        <v>0</v>
      </c>
      <c r="D58" s="1082"/>
      <c r="E58" s="1086" t="e">
        <f>+C58/C51</f>
        <v>#DIV/0!</v>
      </c>
      <c r="F58" s="1076"/>
      <c r="G58" s="1084">
        <f>+'Ingresos Proyecciones'!H115+'Ingresos Proyecciones'!H119+'Ingresos Proyecciones'!H121</f>
        <v>0</v>
      </c>
      <c r="H58" s="1084">
        <f>+'Ingresos Proyecciones'!I115+'Ingresos Proyecciones'!I119+'Ingresos Proyecciones'!I121</f>
        <v>0</v>
      </c>
      <c r="I58" s="1084">
        <f>+'Ingresos Proyecciones'!J115+'Ingresos Proyecciones'!J119+'Ingresos Proyecciones'!J121</f>
        <v>0</v>
      </c>
      <c r="J58" s="1084">
        <f>+'Ingresos Proyecciones'!K115+'Ingresos Proyecciones'!K119+'Ingresos Proyecciones'!K121</f>
        <v>0</v>
      </c>
      <c r="K58" s="1084">
        <f>+'Ingresos Proyecciones'!L115+'Ingresos Proyecciones'!L119+'Ingresos Proyecciones'!L121</f>
        <v>0</v>
      </c>
      <c r="L58" s="1084">
        <f>+'Ingresos Proyecciones'!M115+'Ingresos Proyecciones'!M119+'Ingresos Proyecciones'!M121</f>
        <v>0</v>
      </c>
      <c r="M58" s="1084">
        <f>+'Ingresos Proyecciones'!N115+'Ingresos Proyecciones'!N119+'Ingresos Proyecciones'!N121</f>
        <v>0</v>
      </c>
      <c r="N58" s="1084">
        <f>+'Ingresos Proyecciones'!O115+'Ingresos Proyecciones'!O119+'Ingresos Proyecciones'!O121</f>
        <v>0</v>
      </c>
      <c r="O58" s="1084">
        <f>+'Ingresos Proyecciones'!P115+'Ingresos Proyecciones'!P119+'Ingresos Proyecciones'!P121</f>
        <v>0</v>
      </c>
      <c r="P58" s="1084">
        <f>+'Ingresos Proyecciones'!Q115+'Ingresos Proyecciones'!Q119+'Ingresos Proyecciones'!Q121</f>
        <v>0</v>
      </c>
      <c r="Q58" s="1084">
        <f>+'Ingresos Proyecciones'!R115+'Ingresos Proyecciones'!R119+'Ingresos Proyecciones'!R121</f>
        <v>0</v>
      </c>
      <c r="R58" s="1084">
        <f>+'Ingresos Proyecciones'!S115+'Ingresos Proyecciones'!S119+'Ingresos Proyecciones'!S121</f>
        <v>0</v>
      </c>
      <c r="S58" s="1084">
        <f>+'Ingresos Proyecciones'!T115+'Ingresos Proyecciones'!T119+'Ingresos Proyecciones'!T121</f>
        <v>0</v>
      </c>
      <c r="T58" s="1084">
        <f>+'Ingresos Proyecciones'!U115+'Ingresos Proyecciones'!U119+'Ingresos Proyecciones'!U121</f>
        <v>0</v>
      </c>
      <c r="U58" s="1084">
        <f>+'Ingresos Proyecciones'!V115+'Ingresos Proyecciones'!V119+'Ingresos Proyecciones'!V121</f>
        <v>0</v>
      </c>
      <c r="V58" s="1084">
        <f>+'Ingresos Proyecciones'!W115+'Ingresos Proyecciones'!W119+'Ingresos Proyecciones'!W121</f>
        <v>0</v>
      </c>
    </row>
    <row r="59" spans="1:22" ht="12.75" customHeight="1">
      <c r="A59" s="370" t="s">
        <v>95</v>
      </c>
      <c r="B59" s="1110" t="s">
        <v>96</v>
      </c>
      <c r="C59" s="1077">
        <f>SUM(C60:C61)</f>
        <v>0</v>
      </c>
      <c r="D59" s="1082"/>
      <c r="E59" s="1078" t="e">
        <f>+C59/C87</f>
        <v>#REF!</v>
      </c>
      <c r="F59" s="1076"/>
      <c r="G59" s="1077">
        <f t="shared" ref="G59:O59" si="26">SUM(G60:G61)</f>
        <v>1693161</v>
      </c>
      <c r="H59" s="1077">
        <f t="shared" si="26"/>
        <v>1356944</v>
      </c>
      <c r="I59" s="1077">
        <f t="shared" si="26"/>
        <v>1179765.912</v>
      </c>
      <c r="J59" s="1077">
        <f t="shared" si="26"/>
        <v>1411276.5484800001</v>
      </c>
      <c r="K59" s="1077">
        <f t="shared" si="26"/>
        <v>1241087.3224192001</v>
      </c>
      <c r="L59" s="1077">
        <f t="shared" si="26"/>
        <v>1544691.7948359684</v>
      </c>
      <c r="M59" s="1077">
        <f t="shared" si="26"/>
        <v>1580479.4666294069</v>
      </c>
      <c r="N59" s="1077">
        <f t="shared" si="26"/>
        <v>1698858.6452945834</v>
      </c>
      <c r="O59" s="1077">
        <f t="shared" si="26"/>
        <v>1821932.9911063667</v>
      </c>
      <c r="P59" s="1077">
        <f t="shared" ref="P59:U59" si="27">SUM(P60:P61)</f>
        <v>1894810.3107506214</v>
      </c>
      <c r="Q59" s="1077">
        <f t="shared" si="27"/>
        <v>1970602.7231806461</v>
      </c>
      <c r="R59" s="1077">
        <f t="shared" si="27"/>
        <v>2049426.8321078722</v>
      </c>
      <c r="S59" s="1077">
        <f t="shared" si="27"/>
        <v>2131403.9053921872</v>
      </c>
      <c r="T59" s="1077">
        <f t="shared" si="27"/>
        <v>2216660.0616078745</v>
      </c>
      <c r="U59" s="1077">
        <f t="shared" si="27"/>
        <v>2305326.4640721898</v>
      </c>
      <c r="V59" s="1077">
        <f>SUM(V60:V61)</f>
        <v>2397539.5226350771</v>
      </c>
    </row>
    <row r="60" spans="1:22" ht="17.25" customHeight="1">
      <c r="A60" s="369" t="s">
        <v>97</v>
      </c>
      <c r="B60" s="1101" t="s">
        <v>98</v>
      </c>
      <c r="C60" s="1084">
        <f>+Gastos!J77+Gastos!J78+Gastos!J82+Gastos!J84+Gastos!J85+Gastos!J89+Gastos!J112+Gastos!J149+Gastos!J185</f>
        <v>0</v>
      </c>
      <c r="D60" s="1082"/>
      <c r="E60" s="1086" t="e">
        <f>+C60/C59</f>
        <v>#DIV/0!</v>
      </c>
      <c r="F60" s="1076"/>
      <c r="G60" s="1084">
        <f>+'Gastos Proyecciones'!H58+'Gastos Proyecciones'!H59+'Gastos Proyecciones'!H63+'Gastos Proyecciones'!H65+'Gastos Proyecciones'!H66+'Gastos Proyecciones'!H70+'Gastos Proyecciones'!H93+'Gastos Proyecciones'!H130+'Gastos Proyecciones'!H166</f>
        <v>1693161</v>
      </c>
      <c r="H60" s="1084">
        <f>+'Gastos Proyecciones'!I93+'Gastos Proyecciones'!I145+'Gastos Proyecciones'!I123</f>
        <v>1356944</v>
      </c>
      <c r="I60" s="1084">
        <f>+'Gastos Proyecciones'!J93+'Gastos Proyecciones'!J145+'Gastos Proyecciones'!J123</f>
        <v>1179765.912</v>
      </c>
      <c r="J60" s="1084">
        <f>+'Gastos Proyecciones'!K93+'Gastos Proyecciones'!K145+'Gastos Proyecciones'!K123</f>
        <v>1411276.5484800001</v>
      </c>
      <c r="K60" s="1084">
        <f>+'Gastos Proyecciones'!L93+'Gastos Proyecciones'!L145+'Gastos Proyecciones'!L123</f>
        <v>1241087.3224192001</v>
      </c>
      <c r="L60" s="1084">
        <f>+'Gastos Proyecciones'!M93+'Gastos Proyecciones'!M145+'Gastos Proyecciones'!M123</f>
        <v>1544691.7948359684</v>
      </c>
      <c r="M60" s="1084">
        <f>+'Gastos Proyecciones'!N93+'Gastos Proyecciones'!N145+'Gastos Proyecciones'!N123</f>
        <v>1580479.4666294069</v>
      </c>
      <c r="N60" s="1084">
        <f>+'Gastos Proyecciones'!O93+'Gastos Proyecciones'!O145+'Gastos Proyecciones'!O123</f>
        <v>1698858.6452945834</v>
      </c>
      <c r="O60" s="1084">
        <f>+'Gastos Proyecciones'!P93+'Gastos Proyecciones'!P145+'Gastos Proyecciones'!P123</f>
        <v>1821932.9911063667</v>
      </c>
      <c r="P60" s="1084">
        <f>+'Gastos Proyecciones'!Q93+'Gastos Proyecciones'!Q145+'Gastos Proyecciones'!Q123</f>
        <v>1894810.3107506214</v>
      </c>
      <c r="Q60" s="1084">
        <f>+'Gastos Proyecciones'!R93+'Gastos Proyecciones'!R145+'Gastos Proyecciones'!R123</f>
        <v>1970602.7231806461</v>
      </c>
      <c r="R60" s="1084">
        <f>+'Gastos Proyecciones'!S93+'Gastos Proyecciones'!S145+'Gastos Proyecciones'!S123</f>
        <v>2049426.8321078722</v>
      </c>
      <c r="S60" s="1084">
        <f>+'Gastos Proyecciones'!T93+'Gastos Proyecciones'!T145+'Gastos Proyecciones'!T123</f>
        <v>2131403.9053921872</v>
      </c>
      <c r="T60" s="1084">
        <f>+'Gastos Proyecciones'!U93+'Gastos Proyecciones'!U145+'Gastos Proyecciones'!U123</f>
        <v>2216660.0616078745</v>
      </c>
      <c r="U60" s="1084">
        <f>+'Gastos Proyecciones'!V93+'Gastos Proyecciones'!V145+'Gastos Proyecciones'!V123</f>
        <v>2305326.4640721898</v>
      </c>
      <c r="V60" s="1084">
        <f>+'Gastos Proyecciones'!W93+'Gastos Proyecciones'!W145+'Gastos Proyecciones'!W123</f>
        <v>2397539.5226350771</v>
      </c>
    </row>
    <row r="61" spans="1:22">
      <c r="A61" s="1073" t="str">
        <f>Gastos!A200</f>
        <v>228</v>
      </c>
      <c r="B61" s="1101" t="s">
        <v>99</v>
      </c>
      <c r="C61" s="1084">
        <f>+Gastos!J200</f>
        <v>0</v>
      </c>
      <c r="D61" s="1082"/>
      <c r="E61" s="1086" t="e">
        <f>+C61/C59</f>
        <v>#DIV/0!</v>
      </c>
      <c r="F61" s="1076"/>
      <c r="G61" s="1084">
        <f>+'Gastos Proyecciones'!H181</f>
        <v>0</v>
      </c>
      <c r="H61" s="1084">
        <f>+'Gastos Proyecciones'!I181</f>
        <v>0</v>
      </c>
      <c r="I61" s="1084">
        <f>+'Gastos Proyecciones'!J181</f>
        <v>0</v>
      </c>
      <c r="J61" s="1084">
        <f>+'Gastos Proyecciones'!K181</f>
        <v>0</v>
      </c>
      <c r="K61" s="1084">
        <f>+'Gastos Proyecciones'!L181</f>
        <v>0</v>
      </c>
      <c r="L61" s="1084">
        <f>+'Gastos Proyecciones'!M181</f>
        <v>0</v>
      </c>
      <c r="M61" s="1084">
        <f>+'Gastos Proyecciones'!N181</f>
        <v>0</v>
      </c>
      <c r="N61" s="1084">
        <f>+'Gastos Proyecciones'!O181</f>
        <v>0</v>
      </c>
      <c r="O61" s="1084">
        <f>+'Gastos Proyecciones'!P181</f>
        <v>0</v>
      </c>
      <c r="P61" s="1084">
        <f>+'Gastos Proyecciones'!Q181</f>
        <v>0</v>
      </c>
      <c r="Q61" s="1084">
        <f>+'Gastos Proyecciones'!R181</f>
        <v>0</v>
      </c>
      <c r="R61" s="1084">
        <f>+'Gastos Proyecciones'!S181</f>
        <v>0</v>
      </c>
      <c r="S61" s="1084">
        <f>+'Gastos Proyecciones'!T181</f>
        <v>0</v>
      </c>
      <c r="T61" s="1084">
        <f>+'Gastos Proyecciones'!U181</f>
        <v>0</v>
      </c>
      <c r="U61" s="1084">
        <f>+'Gastos Proyecciones'!V181</f>
        <v>0</v>
      </c>
      <c r="V61" s="1084">
        <f>+'Gastos Proyecciones'!W181</f>
        <v>0</v>
      </c>
    </row>
    <row r="62" spans="1:22" ht="12.75" customHeight="1">
      <c r="A62" s="369" t="s">
        <v>100</v>
      </c>
      <c r="B62" s="1110" t="s">
        <v>101</v>
      </c>
      <c r="C62" s="1077">
        <f>+C51-C59</f>
        <v>0</v>
      </c>
      <c r="D62" s="1088"/>
      <c r="E62" s="1090"/>
      <c r="F62" s="1076"/>
      <c r="G62" s="1077">
        <f t="shared" ref="G62:O62" si="28">+G51-G59</f>
        <v>-1664498.6</v>
      </c>
      <c r="H62" s="1077">
        <f t="shared" si="28"/>
        <v>-1356382</v>
      </c>
      <c r="I62" s="1077">
        <f t="shared" si="28"/>
        <v>-1174765.912</v>
      </c>
      <c r="J62" s="1077">
        <f t="shared" si="28"/>
        <v>-1406076.5484800001</v>
      </c>
      <c r="K62" s="1077">
        <f t="shared" si="28"/>
        <v>-1235679.3224192001</v>
      </c>
      <c r="L62" s="1077">
        <f t="shared" si="28"/>
        <v>-1539066.7948359684</v>
      </c>
      <c r="M62" s="1077">
        <f t="shared" si="28"/>
        <v>-1574629.4666294069</v>
      </c>
      <c r="N62" s="1077">
        <f t="shared" si="28"/>
        <v>-1692774.6452945834</v>
      </c>
      <c r="O62" s="1077">
        <f t="shared" si="28"/>
        <v>-1815605.6311063666</v>
      </c>
      <c r="P62" s="1077">
        <f t="shared" ref="P62:U62" si="29">+P51-P59</f>
        <v>-1888229.8563506214</v>
      </c>
      <c r="Q62" s="1077">
        <f t="shared" si="29"/>
        <v>-1963759.0506046461</v>
      </c>
      <c r="R62" s="1077">
        <f t="shared" si="29"/>
        <v>-2042309.4126288323</v>
      </c>
      <c r="S62" s="1077">
        <f t="shared" si="29"/>
        <v>-2124001.7891339855</v>
      </c>
      <c r="T62" s="1077">
        <f t="shared" si="29"/>
        <v>-2208961.8606993449</v>
      </c>
      <c r="U62" s="1077">
        <f t="shared" si="29"/>
        <v>-2297320.3351273187</v>
      </c>
      <c r="V62" s="1077">
        <f>+V51-V59</f>
        <v>-2389213.1485324115</v>
      </c>
    </row>
    <row r="63" spans="1:22" ht="12.75" customHeight="1">
      <c r="A63" s="369" t="s">
        <v>102</v>
      </c>
      <c r="B63" s="1110" t="s">
        <v>103</v>
      </c>
      <c r="C63" s="1077" t="e">
        <f>+C50+C51-C59</f>
        <v>#REF!</v>
      </c>
      <c r="D63" s="1076"/>
      <c r="E63" s="1090"/>
      <c r="F63" s="1076"/>
      <c r="G63" s="1077" t="e">
        <f t="shared" ref="G63:O63" si="30">+G50+G51-G59</f>
        <v>#REF!</v>
      </c>
      <c r="H63" s="1077">
        <f>+H50+H51-H59</f>
        <v>0</v>
      </c>
      <c r="I63" s="1077">
        <f t="shared" si="30"/>
        <v>0.72800000058487058</v>
      </c>
      <c r="J63" s="1077">
        <f t="shared" si="30"/>
        <v>-0.20288000046275556</v>
      </c>
      <c r="K63" s="1077">
        <f t="shared" si="30"/>
        <v>0.13255679979920387</v>
      </c>
      <c r="L63" s="1077">
        <f>+L50+L51-L59</f>
        <v>0.63833907200023532</v>
      </c>
      <c r="M63" s="1077">
        <f t="shared" si="30"/>
        <v>0.66387263452634215</v>
      </c>
      <c r="N63" s="1077">
        <f>+N50+N51-N59+1</f>
        <v>1.6904275408014655</v>
      </c>
      <c r="O63" s="1077">
        <f t="shared" si="30"/>
        <v>0.71804464212618768</v>
      </c>
      <c r="P63" s="1077">
        <f t="shared" ref="P63:U63" si="31">+P50+P51-P59</f>
        <v>0.74676642916165292</v>
      </c>
      <c r="Q63" s="1077">
        <f t="shared" si="31"/>
        <v>0.77663708571344614</v>
      </c>
      <c r="R63" s="1077">
        <f t="shared" si="31"/>
        <v>0.80770256835967302</v>
      </c>
      <c r="S63" s="1077">
        <f t="shared" si="31"/>
        <v>0.84001067001372576</v>
      </c>
      <c r="T63" s="1077">
        <f t="shared" si="31"/>
        <v>0.87361109862104058</v>
      </c>
      <c r="U63" s="1077">
        <f t="shared" si="31"/>
        <v>0.90855554165318608</v>
      </c>
      <c r="V63" s="1077">
        <f>+V50+V51-V59</f>
        <v>1.9448977657593787</v>
      </c>
    </row>
    <row r="64" spans="1:22" ht="12.75" customHeight="1">
      <c r="A64" s="369" t="s">
        <v>104</v>
      </c>
      <c r="B64" s="1110" t="s">
        <v>105</v>
      </c>
      <c r="C64" s="1077" t="e">
        <f>+C65</f>
        <v>#REF!</v>
      </c>
      <c r="D64" s="1082"/>
      <c r="E64" s="1090"/>
      <c r="F64" s="1076"/>
      <c r="G64" s="1077" t="e">
        <f t="shared" ref="G64:V64" si="32">+G65</f>
        <v>#REF!</v>
      </c>
      <c r="H64" s="1077">
        <f t="shared" si="32"/>
        <v>132000</v>
      </c>
      <c r="I64" s="1077">
        <f t="shared" si="32"/>
        <v>192000</v>
      </c>
      <c r="J64" s="1077">
        <f t="shared" si="32"/>
        <v>60000</v>
      </c>
      <c r="K64" s="1077">
        <f t="shared" si="32"/>
        <v>281000</v>
      </c>
      <c r="L64" s="1077">
        <f t="shared" si="32"/>
        <v>70965</v>
      </c>
      <c r="M64" s="1077">
        <f t="shared" si="32"/>
        <v>100000</v>
      </c>
      <c r="N64" s="1077">
        <f t="shared" si="32"/>
        <v>50000</v>
      </c>
      <c r="O64" s="1077">
        <f t="shared" si="32"/>
        <v>0</v>
      </c>
      <c r="P64" s="1077">
        <f t="shared" si="32"/>
        <v>0</v>
      </c>
      <c r="Q64" s="1077">
        <f t="shared" si="32"/>
        <v>0</v>
      </c>
      <c r="R64" s="1077">
        <f t="shared" si="32"/>
        <v>0</v>
      </c>
      <c r="S64" s="1077">
        <f t="shared" si="32"/>
        <v>0</v>
      </c>
      <c r="T64" s="1077">
        <f t="shared" si="32"/>
        <v>0</v>
      </c>
      <c r="U64" s="1077">
        <f t="shared" si="32"/>
        <v>0</v>
      </c>
      <c r="V64" s="1077">
        <f t="shared" si="32"/>
        <v>0</v>
      </c>
    </row>
    <row r="65" spans="1:22">
      <c r="A65" s="1071" t="str">
        <f>+Ingresos!A99</f>
        <v>121</v>
      </c>
      <c r="B65" s="1110" t="s">
        <v>106</v>
      </c>
      <c r="C65" s="1077" t="e">
        <f>+C66+C69</f>
        <v>#REF!</v>
      </c>
      <c r="D65" s="1082"/>
      <c r="E65" s="1090"/>
      <c r="F65" s="1076"/>
      <c r="G65" s="1077" t="e">
        <f>+G66+G69</f>
        <v>#REF!</v>
      </c>
      <c r="H65" s="1077">
        <f>+H66+H69</f>
        <v>132000</v>
      </c>
      <c r="I65" s="1077">
        <f t="shared" ref="I65:O65" si="33">+I66+I69</f>
        <v>192000</v>
      </c>
      <c r="J65" s="1077">
        <f t="shared" si="33"/>
        <v>60000</v>
      </c>
      <c r="K65" s="1077">
        <f t="shared" si="33"/>
        <v>281000</v>
      </c>
      <c r="L65" s="1077">
        <f t="shared" si="33"/>
        <v>70965</v>
      </c>
      <c r="M65" s="1077">
        <f t="shared" si="33"/>
        <v>100000</v>
      </c>
      <c r="N65" s="1077">
        <f t="shared" si="33"/>
        <v>50000</v>
      </c>
      <c r="O65" s="1077">
        <f t="shared" si="33"/>
        <v>0</v>
      </c>
      <c r="P65" s="1077">
        <f t="shared" ref="P65:U65" si="34">+P66+P69</f>
        <v>0</v>
      </c>
      <c r="Q65" s="1077">
        <f t="shared" si="34"/>
        <v>0</v>
      </c>
      <c r="R65" s="1077">
        <f t="shared" si="34"/>
        <v>0</v>
      </c>
      <c r="S65" s="1077">
        <f t="shared" si="34"/>
        <v>0</v>
      </c>
      <c r="T65" s="1077">
        <f t="shared" si="34"/>
        <v>0</v>
      </c>
      <c r="U65" s="1077">
        <f t="shared" si="34"/>
        <v>0</v>
      </c>
      <c r="V65" s="1077">
        <f>+V66+V69</f>
        <v>0</v>
      </c>
    </row>
    <row r="66" spans="1:22">
      <c r="A66" s="1071" t="str">
        <f>+Ingresos!A100</f>
        <v>12101</v>
      </c>
      <c r="B66" s="1110" t="s">
        <v>980</v>
      </c>
      <c r="C66" s="1077">
        <f>+C67-C68</f>
        <v>0</v>
      </c>
      <c r="D66" s="1082"/>
      <c r="E66" s="1090"/>
      <c r="F66" s="1076"/>
      <c r="G66" s="1077">
        <f>+G67-G68</f>
        <v>-84000</v>
      </c>
      <c r="H66" s="1077">
        <f>+H68</f>
        <v>132000</v>
      </c>
      <c r="I66" s="1077">
        <f t="shared" ref="I66:O66" si="35">+I68</f>
        <v>192000</v>
      </c>
      <c r="J66" s="1077">
        <f t="shared" si="35"/>
        <v>60000</v>
      </c>
      <c r="K66" s="1077">
        <f t="shared" si="35"/>
        <v>281000</v>
      </c>
      <c r="L66" s="1077">
        <f t="shared" si="35"/>
        <v>70965</v>
      </c>
      <c r="M66" s="1077">
        <f t="shared" si="35"/>
        <v>100000</v>
      </c>
      <c r="N66" s="1077">
        <f t="shared" si="35"/>
        <v>50000</v>
      </c>
      <c r="O66" s="1077">
        <f t="shared" si="35"/>
        <v>0</v>
      </c>
      <c r="P66" s="1077">
        <f t="shared" ref="P66:U66" si="36">+P68</f>
        <v>0</v>
      </c>
      <c r="Q66" s="1077">
        <f t="shared" si="36"/>
        <v>0</v>
      </c>
      <c r="R66" s="1077">
        <f t="shared" si="36"/>
        <v>0</v>
      </c>
      <c r="S66" s="1077">
        <f t="shared" si="36"/>
        <v>0</v>
      </c>
      <c r="T66" s="1077">
        <f t="shared" si="36"/>
        <v>0</v>
      </c>
      <c r="U66" s="1077">
        <f t="shared" si="36"/>
        <v>0</v>
      </c>
      <c r="V66" s="1077">
        <f>+V68</f>
        <v>0</v>
      </c>
    </row>
    <row r="67" spans="1:22" hidden="1">
      <c r="A67" s="1071" t="s">
        <v>107</v>
      </c>
      <c r="B67" s="1101" t="s">
        <v>108</v>
      </c>
      <c r="C67" s="1084">
        <f>+Ingresos!H100</f>
        <v>0</v>
      </c>
      <c r="D67" s="1082"/>
      <c r="E67" s="1078" t="e">
        <f>+C67/C86</f>
        <v>#DIV/0!</v>
      </c>
      <c r="F67" s="1076"/>
      <c r="G67" s="1084">
        <f>+'Ingresos Proyecciones'!H92</f>
        <v>0</v>
      </c>
      <c r="H67" s="1084">
        <f>+'Ingresos Proyecciones'!I92</f>
        <v>0</v>
      </c>
      <c r="I67" s="1084">
        <f>+'Ingresos Proyecciones'!J92</f>
        <v>0</v>
      </c>
      <c r="J67" s="1084">
        <f>+'Ingresos Proyecciones'!K92</f>
        <v>0</v>
      </c>
      <c r="K67" s="1084">
        <f>+'Ingresos Proyecciones'!L92</f>
        <v>0</v>
      </c>
      <c r="L67" s="1084">
        <f>+'Ingresos Proyecciones'!M92</f>
        <v>0</v>
      </c>
      <c r="M67" s="1084">
        <f>+'Ingresos Proyecciones'!N92</f>
        <v>0</v>
      </c>
      <c r="N67" s="1084">
        <f>+'Ingresos Proyecciones'!O92</f>
        <v>0</v>
      </c>
      <c r="O67" s="1084">
        <f>+'Ingresos Proyecciones'!P92</f>
        <v>0</v>
      </c>
      <c r="P67" s="1084">
        <f>+'Ingresos Proyecciones'!Q92</f>
        <v>0</v>
      </c>
      <c r="Q67" s="1084">
        <f>+'Ingresos Proyecciones'!R92</f>
        <v>0</v>
      </c>
      <c r="R67" s="1084">
        <f>+'Ingresos Proyecciones'!S92</f>
        <v>0</v>
      </c>
      <c r="S67" s="1084">
        <f>+'Ingresos Proyecciones'!T92</f>
        <v>0</v>
      </c>
      <c r="T67" s="1084">
        <f>+'Ingresos Proyecciones'!U92</f>
        <v>0</v>
      </c>
      <c r="U67" s="1084">
        <f>+'Ingresos Proyecciones'!V92</f>
        <v>0</v>
      </c>
      <c r="V67" s="1084">
        <f>+'Ingresos Proyecciones'!W92</f>
        <v>0</v>
      </c>
    </row>
    <row r="68" spans="1:22">
      <c r="A68" s="1075" t="s">
        <v>9</v>
      </c>
      <c r="B68" s="1101" t="s">
        <v>109</v>
      </c>
      <c r="C68" s="1084">
        <f>+Gastos!J203</f>
        <v>0</v>
      </c>
      <c r="D68" s="1082"/>
      <c r="E68" s="1078" t="e">
        <f>+C68/C87</f>
        <v>#REF!</v>
      </c>
      <c r="F68" s="1076"/>
      <c r="G68" s="1084">
        <f>+'Gastos Proyecciones'!H184</f>
        <v>84000</v>
      </c>
      <c r="H68" s="1084">
        <f>+'Gastos Proyecciones'!I184</f>
        <v>132000</v>
      </c>
      <c r="I68" s="1084">
        <f>+'Gastos Proyecciones'!J184</f>
        <v>192000</v>
      </c>
      <c r="J68" s="1084">
        <f>+'Gastos Proyecciones'!K184</f>
        <v>60000</v>
      </c>
      <c r="K68" s="1084">
        <f>+'Gastos Proyecciones'!L184</f>
        <v>281000</v>
      </c>
      <c r="L68" s="1084">
        <f>+'Gastos Proyecciones'!M184</f>
        <v>70965</v>
      </c>
      <c r="M68" s="1084">
        <f>+'Gastos Proyecciones'!N184</f>
        <v>100000</v>
      </c>
      <c r="N68" s="1084">
        <f>+'Gastos Proyecciones'!O184</f>
        <v>50000</v>
      </c>
      <c r="O68" s="1084">
        <f>+'Gastos Proyecciones'!P184</f>
        <v>0</v>
      </c>
      <c r="P68" s="1084">
        <f>+'Gastos Proyecciones'!Q184</f>
        <v>0</v>
      </c>
      <c r="Q68" s="1084">
        <f>+'Gastos Proyecciones'!R184</f>
        <v>0</v>
      </c>
      <c r="R68" s="1084">
        <f>+'Gastos Proyecciones'!S184</f>
        <v>0</v>
      </c>
      <c r="S68" s="1084">
        <f>+'Gastos Proyecciones'!T184</f>
        <v>0</v>
      </c>
      <c r="T68" s="1084">
        <f>+'Gastos Proyecciones'!U184</f>
        <v>0</v>
      </c>
      <c r="U68" s="1084">
        <f>+'Gastos Proyecciones'!V184</f>
        <v>0</v>
      </c>
      <c r="V68" s="1084">
        <f>+'Gastos Proyecciones'!W184</f>
        <v>0</v>
      </c>
    </row>
    <row r="69" spans="1:22" hidden="1">
      <c r="A69" s="1071" t="str">
        <f>+Ingresos!A110</f>
        <v>12102</v>
      </c>
      <c r="B69" s="1110" t="s">
        <v>1000</v>
      </c>
      <c r="C69" s="1077" t="e">
        <f>+C70-#REF!</f>
        <v>#REF!</v>
      </c>
      <c r="D69" s="1082"/>
      <c r="E69" s="1090"/>
      <c r="F69" s="1076"/>
      <c r="G69" s="1077" t="e">
        <f>+G70-#REF!</f>
        <v>#REF!</v>
      </c>
      <c r="H69" s="1077">
        <f>+H70</f>
        <v>0</v>
      </c>
      <c r="I69" s="1077">
        <f t="shared" ref="I69:V69" si="37">+I70</f>
        <v>0</v>
      </c>
      <c r="J69" s="1077">
        <f t="shared" si="37"/>
        <v>0</v>
      </c>
      <c r="K69" s="1077">
        <f t="shared" si="37"/>
        <v>0</v>
      </c>
      <c r="L69" s="1077">
        <f t="shared" si="37"/>
        <v>0</v>
      </c>
      <c r="M69" s="1077">
        <f t="shared" si="37"/>
        <v>0</v>
      </c>
      <c r="N69" s="1077">
        <f t="shared" si="37"/>
        <v>0</v>
      </c>
      <c r="O69" s="1077">
        <f t="shared" si="37"/>
        <v>0</v>
      </c>
      <c r="P69" s="1077">
        <f t="shared" si="37"/>
        <v>0</v>
      </c>
      <c r="Q69" s="1077">
        <f t="shared" si="37"/>
        <v>0</v>
      </c>
      <c r="R69" s="1077">
        <f t="shared" si="37"/>
        <v>0</v>
      </c>
      <c r="S69" s="1077">
        <f t="shared" si="37"/>
        <v>0</v>
      </c>
      <c r="T69" s="1077">
        <f t="shared" si="37"/>
        <v>0</v>
      </c>
      <c r="U69" s="1077">
        <f t="shared" si="37"/>
        <v>0</v>
      </c>
      <c r="V69" s="1077">
        <f t="shared" si="37"/>
        <v>0</v>
      </c>
    </row>
    <row r="70" spans="1:22" ht="12" hidden="1" customHeight="1">
      <c r="A70" s="1071" t="s">
        <v>110</v>
      </c>
      <c r="B70" s="1101" t="s">
        <v>108</v>
      </c>
      <c r="C70" s="1084">
        <f>+Ingresos!H110</f>
        <v>0</v>
      </c>
      <c r="D70" s="1082"/>
      <c r="E70" s="1090"/>
      <c r="F70" s="1076"/>
      <c r="G70" s="1084">
        <f>+'Ingresos Proyecciones'!H102</f>
        <v>0</v>
      </c>
      <c r="H70" s="1084">
        <f>+'Ingresos Proyecciones'!I102</f>
        <v>0</v>
      </c>
      <c r="I70" s="1084">
        <f>+'Ingresos Proyecciones'!J102</f>
        <v>0</v>
      </c>
      <c r="J70" s="1084">
        <f>+'Ingresos Proyecciones'!K102</f>
        <v>0</v>
      </c>
      <c r="K70" s="1084">
        <f>+'Ingresos Proyecciones'!L102</f>
        <v>0</v>
      </c>
      <c r="L70" s="1084">
        <f>+'Ingresos Proyecciones'!M102</f>
        <v>0</v>
      </c>
      <c r="M70" s="1084">
        <f>+'Ingresos Proyecciones'!N102</f>
        <v>0</v>
      </c>
      <c r="N70" s="1084">
        <f>+'Ingresos Proyecciones'!O102</f>
        <v>0</v>
      </c>
      <c r="O70" s="1084">
        <f>+'Ingresos Proyecciones'!P102</f>
        <v>0</v>
      </c>
      <c r="P70" s="1084">
        <f>+'Ingresos Proyecciones'!Q102</f>
        <v>0</v>
      </c>
      <c r="Q70" s="1084">
        <f>+'Ingresos Proyecciones'!R102</f>
        <v>0</v>
      </c>
      <c r="R70" s="1084">
        <f>+'Ingresos Proyecciones'!S102</f>
        <v>0</v>
      </c>
      <c r="S70" s="1084">
        <f>+'Ingresos Proyecciones'!T102</f>
        <v>0</v>
      </c>
      <c r="T70" s="1084">
        <f>+'Ingresos Proyecciones'!U102</f>
        <v>0</v>
      </c>
      <c r="U70" s="1084">
        <f>+'Ingresos Proyecciones'!V102</f>
        <v>0</v>
      </c>
      <c r="V70" s="1084">
        <f>+'Ingresos Proyecciones'!W102</f>
        <v>0</v>
      </c>
    </row>
    <row r="71" spans="1:22" s="987" customFormat="1">
      <c r="A71" s="986" t="str">
        <f>A77</f>
        <v>145A</v>
      </c>
      <c r="B71" s="1112" t="str">
        <f t="shared" ref="B71:O71" si="38">B77</f>
        <v xml:space="preserve">DÉFICIT O SUPERÁVIT PRIMARIO </v>
      </c>
      <c r="C71" s="1096" t="e">
        <f t="shared" si="38"/>
        <v>#REF!</v>
      </c>
      <c r="D71" s="1096">
        <f t="shared" si="38"/>
        <v>0</v>
      </c>
      <c r="E71" s="1096">
        <f t="shared" si="38"/>
        <v>0</v>
      </c>
      <c r="F71" s="1096">
        <f t="shared" si="38"/>
        <v>0</v>
      </c>
      <c r="G71" s="1096" t="e">
        <f t="shared" si="38"/>
        <v>#REF!</v>
      </c>
      <c r="H71" s="1096">
        <f t="shared" si="38"/>
        <v>69001</v>
      </c>
      <c r="I71" s="1096">
        <f t="shared" si="38"/>
        <v>65001.728000001051</v>
      </c>
      <c r="J71" s="1096">
        <f t="shared" si="38"/>
        <v>24000.797119999304</v>
      </c>
      <c r="K71" s="1096">
        <f t="shared" si="38"/>
        <v>33001.132556799799</v>
      </c>
      <c r="L71" s="1096">
        <f t="shared" si="38"/>
        <v>4036.6383390715346</v>
      </c>
      <c r="M71" s="1096">
        <f t="shared" si="38"/>
        <v>4001.663872634992</v>
      </c>
      <c r="N71" s="1096">
        <f t="shared" si="38"/>
        <v>3001.6904275408015</v>
      </c>
      <c r="O71" s="1096">
        <f t="shared" si="38"/>
        <v>1.7180446423590183</v>
      </c>
      <c r="P71" s="1096">
        <f t="shared" ref="P71:S72" si="39">P77</f>
        <v>1.7467664293944836</v>
      </c>
      <c r="Q71" s="1096">
        <f t="shared" si="39"/>
        <v>1.7766370857134461</v>
      </c>
      <c r="R71" s="1096">
        <f t="shared" si="39"/>
        <v>1.8077025692909956</v>
      </c>
      <c r="S71" s="1096">
        <f t="shared" si="39"/>
        <v>1.8400106709450483</v>
      </c>
      <c r="T71" s="1096">
        <f t="shared" ref="T71:V72" si="40">T77</f>
        <v>1.8736111000180244</v>
      </c>
      <c r="U71" s="1096">
        <f t="shared" si="40"/>
        <v>1.9085555411875248</v>
      </c>
      <c r="V71" s="1096">
        <f t="shared" si="40"/>
        <v>2.9448977652937174</v>
      </c>
    </row>
    <row r="72" spans="1:22" s="987" customFormat="1">
      <c r="A72" s="986" t="str">
        <f>A78</f>
        <v>146A</v>
      </c>
      <c r="B72" s="1112" t="str">
        <f t="shared" ref="B72:O72" si="41">B78</f>
        <v>DÉFICIT O SUPERÁVIT PRIMARIO/INTERESES</v>
      </c>
      <c r="C72" s="1096" t="e">
        <f t="shared" si="41"/>
        <v>#REF!</v>
      </c>
      <c r="D72" s="1096">
        <f t="shared" si="41"/>
        <v>0</v>
      </c>
      <c r="E72" s="1096">
        <f t="shared" si="41"/>
        <v>0</v>
      </c>
      <c r="F72" s="1096">
        <f t="shared" si="41"/>
        <v>0</v>
      </c>
      <c r="G72" s="1096" t="e">
        <f>G78</f>
        <v>#REF!</v>
      </c>
      <c r="H72" s="1096">
        <f>H78</f>
        <v>1.0000144927536232</v>
      </c>
      <c r="I72" s="1096">
        <f t="shared" si="41"/>
        <v>1.0000265846154008</v>
      </c>
      <c r="J72" s="1096">
        <f t="shared" si="41"/>
        <v>1.0000332133333043</v>
      </c>
      <c r="K72" s="1096">
        <f t="shared" si="41"/>
        <v>1.0000343199030242</v>
      </c>
      <c r="L72" s="1096">
        <f t="shared" si="41"/>
        <v>1.0004060319879888</v>
      </c>
      <c r="M72" s="1096">
        <f>M78</f>
        <v>1</v>
      </c>
      <c r="N72" s="1096">
        <f t="shared" si="41"/>
        <v>1</v>
      </c>
      <c r="O72" s="1096">
        <f t="shared" si="41"/>
        <v>1</v>
      </c>
      <c r="P72" s="1096">
        <f t="shared" si="39"/>
        <v>1</v>
      </c>
      <c r="Q72" s="1096">
        <f t="shared" si="39"/>
        <v>1</v>
      </c>
      <c r="R72" s="1096">
        <f t="shared" si="39"/>
        <v>1</v>
      </c>
      <c r="S72" s="1096">
        <f t="shared" si="39"/>
        <v>1</v>
      </c>
      <c r="T72" s="1096">
        <f t="shared" si="40"/>
        <v>2</v>
      </c>
      <c r="U72" s="1096">
        <f t="shared" si="40"/>
        <v>2</v>
      </c>
      <c r="V72" s="1096">
        <f t="shared" si="40"/>
        <v>2</v>
      </c>
    </row>
    <row r="73" spans="1:22" s="987" customFormat="1">
      <c r="A73" s="986" t="str">
        <f>A85</f>
        <v>147A</v>
      </c>
      <c r="B73" s="1112" t="str">
        <f t="shared" ref="B73:O73" si="42">B85</f>
        <v>RESULTADO PRESUPUESTAL</v>
      </c>
      <c r="C73" s="1096">
        <f t="shared" si="42"/>
        <v>0</v>
      </c>
      <c r="D73" s="1096">
        <f t="shared" si="42"/>
        <v>0</v>
      </c>
      <c r="E73" s="1096">
        <f t="shared" si="42"/>
        <v>0</v>
      </c>
      <c r="F73" s="1096">
        <f t="shared" si="42"/>
        <v>0</v>
      </c>
      <c r="G73" s="1096">
        <f t="shared" si="42"/>
        <v>0</v>
      </c>
      <c r="H73" s="1096">
        <f t="shared" si="42"/>
        <v>0</v>
      </c>
      <c r="I73" s="1096">
        <f t="shared" si="42"/>
        <v>0</v>
      </c>
      <c r="J73" s="1096">
        <f t="shared" si="42"/>
        <v>0</v>
      </c>
      <c r="K73" s="1096">
        <f t="shared" si="42"/>
        <v>0</v>
      </c>
      <c r="L73" s="1096">
        <f t="shared" si="42"/>
        <v>0</v>
      </c>
      <c r="M73" s="1096">
        <f t="shared" si="42"/>
        <v>0</v>
      </c>
      <c r="N73" s="1096">
        <f t="shared" si="42"/>
        <v>0</v>
      </c>
      <c r="O73" s="1096">
        <f t="shared" si="42"/>
        <v>0</v>
      </c>
      <c r="P73" s="1096">
        <f t="shared" ref="P73:S76" si="43">P85</f>
        <v>0</v>
      </c>
      <c r="Q73" s="1096">
        <f t="shared" si="43"/>
        <v>0</v>
      </c>
      <c r="R73" s="1096">
        <f t="shared" si="43"/>
        <v>0</v>
      </c>
      <c r="S73" s="1096">
        <f t="shared" si="43"/>
        <v>0</v>
      </c>
      <c r="T73" s="1096">
        <f t="shared" ref="T73:U76" si="44">T85</f>
        <v>0</v>
      </c>
      <c r="U73" s="1096">
        <f t="shared" si="44"/>
        <v>0</v>
      </c>
      <c r="V73" s="1096">
        <f>V85</f>
        <v>0</v>
      </c>
    </row>
    <row r="74" spans="1:22" s="987" customFormat="1">
      <c r="A74" s="986" t="str">
        <f t="shared" ref="A74:O76" si="45">A86</f>
        <v>148A</v>
      </c>
      <c r="B74" s="1112" t="str">
        <f t="shared" si="45"/>
        <v>INGRESOS TOTALES</v>
      </c>
      <c r="C74" s="1096">
        <f t="shared" si="45"/>
        <v>0</v>
      </c>
      <c r="D74" s="1096">
        <f t="shared" si="45"/>
        <v>0</v>
      </c>
      <c r="E74" s="1096">
        <f t="shared" si="45"/>
        <v>0</v>
      </c>
      <c r="F74" s="1096">
        <f t="shared" si="45"/>
        <v>0</v>
      </c>
      <c r="G74" s="1096">
        <f t="shared" si="45"/>
        <v>5400742.3824000005</v>
      </c>
      <c r="H74" s="1096">
        <f t="shared" si="45"/>
        <v>5741239</v>
      </c>
      <c r="I74" s="1096">
        <f t="shared" si="45"/>
        <v>5672107.3600000003</v>
      </c>
      <c r="J74" s="1096">
        <f t="shared" si="45"/>
        <v>5898991.6543999994</v>
      </c>
      <c r="K74" s="1096">
        <f t="shared" si="45"/>
        <v>6134951.320576</v>
      </c>
      <c r="L74" s="1096">
        <f t="shared" ref="L74:O76" si="46">L86</f>
        <v>6428349.3726950409</v>
      </c>
      <c r="M74" s="1096">
        <f t="shared" si="46"/>
        <v>6685483.3476028424</v>
      </c>
      <c r="N74" s="1096">
        <f t="shared" si="46"/>
        <v>6952902.6815069569</v>
      </c>
      <c r="O74" s="1096">
        <f t="shared" si="46"/>
        <v>7231018.7887672344</v>
      </c>
      <c r="P74" s="1096">
        <f t="shared" si="43"/>
        <v>7520259.5403179247</v>
      </c>
      <c r="Q74" s="1096">
        <f t="shared" si="43"/>
        <v>7821069.9219306419</v>
      </c>
      <c r="R74" s="1096">
        <f t="shared" si="43"/>
        <v>8133912.7188078668</v>
      </c>
      <c r="S74" s="1096">
        <f t="shared" si="43"/>
        <v>8459269.227560183</v>
      </c>
      <c r="T74" s="1096">
        <f t="shared" si="44"/>
        <v>8797639.9966625907</v>
      </c>
      <c r="U74" s="1096">
        <f t="shared" si="44"/>
        <v>9149545.5965290926</v>
      </c>
      <c r="V74" s="1096">
        <f>V86</f>
        <v>9515527.4203902595</v>
      </c>
    </row>
    <row r="75" spans="1:22" s="987" customFormat="1">
      <c r="A75" s="986" t="str">
        <f t="shared" si="45"/>
        <v>149A</v>
      </c>
      <c r="B75" s="1112" t="str">
        <f t="shared" si="45"/>
        <v>GASTOS TOTALES</v>
      </c>
      <c r="C75" s="1096" t="e">
        <f t="shared" si="45"/>
        <v>#REF!</v>
      </c>
      <c r="D75" s="1096">
        <f t="shared" si="45"/>
        <v>0</v>
      </c>
      <c r="E75" s="1096">
        <f t="shared" si="45"/>
        <v>0</v>
      </c>
      <c r="F75" s="1096">
        <f t="shared" si="45"/>
        <v>0</v>
      </c>
      <c r="G75" s="1096" t="e">
        <f t="shared" si="45"/>
        <v>#REF!</v>
      </c>
      <c r="H75" s="1096">
        <f t="shared" si="45"/>
        <v>5741239</v>
      </c>
      <c r="I75" s="1096">
        <f t="shared" si="45"/>
        <v>5672106.6319999993</v>
      </c>
      <c r="J75" s="1096">
        <f t="shared" si="45"/>
        <v>5898991.8572800001</v>
      </c>
      <c r="K75" s="1096">
        <f t="shared" si="45"/>
        <v>6134951.1880192002</v>
      </c>
      <c r="L75" s="1096">
        <f t="shared" si="46"/>
        <v>6428348.7343559694</v>
      </c>
      <c r="M75" s="1096">
        <f t="shared" si="46"/>
        <v>6685482.6837302074</v>
      </c>
      <c r="N75" s="1096">
        <f t="shared" si="46"/>
        <v>6952901.9910794161</v>
      </c>
      <c r="O75" s="1096">
        <f t="shared" si="46"/>
        <v>7231018.0707225921</v>
      </c>
      <c r="P75" s="1096">
        <f t="shared" si="43"/>
        <v>7520258.7935514953</v>
      </c>
      <c r="Q75" s="1096">
        <f t="shared" si="43"/>
        <v>7821069.1452935562</v>
      </c>
      <c r="R75" s="1096">
        <f t="shared" si="43"/>
        <v>8133911.9111052975</v>
      </c>
      <c r="S75" s="1096">
        <f t="shared" si="43"/>
        <v>8459268.3875495121</v>
      </c>
      <c r="T75" s="1096">
        <f t="shared" si="44"/>
        <v>8797639.1230514906</v>
      </c>
      <c r="U75" s="1096">
        <f t="shared" si="44"/>
        <v>9149544.6879735515</v>
      </c>
      <c r="V75" s="1096">
        <f>V87</f>
        <v>9515525.4754924942</v>
      </c>
    </row>
    <row r="76" spans="1:22" s="987" customFormat="1">
      <c r="A76" s="986" t="str">
        <f t="shared" si="45"/>
        <v>150A</v>
      </c>
      <c r="B76" s="1112" t="str">
        <f t="shared" si="45"/>
        <v>DEFICIT O SUPERAVIT PRESUPUESTAL</v>
      </c>
      <c r="C76" s="1096" t="e">
        <f t="shared" si="45"/>
        <v>#REF!</v>
      </c>
      <c r="D76" s="1096">
        <f t="shared" si="45"/>
        <v>0</v>
      </c>
      <c r="E76" s="1096">
        <f t="shared" si="45"/>
        <v>0</v>
      </c>
      <c r="F76" s="1096">
        <f t="shared" si="45"/>
        <v>0</v>
      </c>
      <c r="G76" s="1096" t="e">
        <f t="shared" si="45"/>
        <v>#REF!</v>
      </c>
      <c r="H76" s="1096">
        <f t="shared" si="45"/>
        <v>0</v>
      </c>
      <c r="I76" s="1096">
        <f t="shared" si="45"/>
        <v>0.72800000105053186</v>
      </c>
      <c r="J76" s="1096">
        <f t="shared" si="45"/>
        <v>-0.2028800006955862</v>
      </c>
      <c r="K76" s="1096">
        <f t="shared" si="45"/>
        <v>0.13255679979920387</v>
      </c>
      <c r="L76" s="1096">
        <f t="shared" si="45"/>
        <v>0.63833907153457403</v>
      </c>
      <c r="M76" s="1096">
        <f t="shared" si="46"/>
        <v>0.66387263499200344</v>
      </c>
      <c r="N76" s="1096">
        <f t="shared" si="45"/>
        <v>0.69042754080146551</v>
      </c>
      <c r="O76" s="1096">
        <f t="shared" si="45"/>
        <v>0.71804464235901833</v>
      </c>
      <c r="P76" s="1096">
        <f t="shared" si="43"/>
        <v>0.74676642939448357</v>
      </c>
      <c r="Q76" s="1096">
        <f t="shared" si="43"/>
        <v>0.77663708571344614</v>
      </c>
      <c r="R76" s="1096">
        <f t="shared" si="43"/>
        <v>0.8077025692909956</v>
      </c>
      <c r="S76" s="1096">
        <f t="shared" si="43"/>
        <v>0.84001067094504833</v>
      </c>
      <c r="T76" s="1096">
        <f t="shared" si="44"/>
        <v>0.87361110001802444</v>
      </c>
      <c r="U76" s="1096">
        <f t="shared" si="44"/>
        <v>0.9085555411875248</v>
      </c>
      <c r="V76" s="1096">
        <f>V88</f>
        <v>1.9448977652937174</v>
      </c>
    </row>
    <row r="77" spans="1:22">
      <c r="A77" s="460" t="s">
        <v>111</v>
      </c>
      <c r="B77" s="1110" t="s">
        <v>112</v>
      </c>
      <c r="C77" s="1077" t="e">
        <f>+(C12+C51)-(C33+C48+C49+#REF!+C59)</f>
        <v>#REF!</v>
      </c>
      <c r="D77" s="1076"/>
      <c r="E77" s="1076"/>
      <c r="F77" s="1076"/>
      <c r="G77" s="1077" t="e">
        <f>+(G12+G51)-(G33+G48+G49+#REF!+G59)</f>
        <v>#REF!</v>
      </c>
      <c r="H77" s="1077">
        <f t="shared" ref="H77:O77" si="47">+(H12+H51)-(H33+H48+H49+H59)+1</f>
        <v>69001</v>
      </c>
      <c r="I77" s="1077">
        <f t="shared" si="47"/>
        <v>65001.728000001051</v>
      </c>
      <c r="J77" s="1077">
        <f t="shared" si="47"/>
        <v>24000.797119999304</v>
      </c>
      <c r="K77" s="1077">
        <f t="shared" si="47"/>
        <v>33001.132556799799</v>
      </c>
      <c r="L77" s="1077">
        <f t="shared" si="47"/>
        <v>4036.6383390715346</v>
      </c>
      <c r="M77" s="1077">
        <f t="shared" si="47"/>
        <v>4001.663872634992</v>
      </c>
      <c r="N77" s="1077">
        <f t="shared" si="47"/>
        <v>3001.6904275408015</v>
      </c>
      <c r="O77" s="1077">
        <f t="shared" si="47"/>
        <v>1.7180446423590183</v>
      </c>
      <c r="P77" s="1077">
        <f t="shared" ref="P77:U77" si="48">+(P12+P51)-(P33+P48+P49+P59)+1</f>
        <v>1.7467664293944836</v>
      </c>
      <c r="Q77" s="1077">
        <f t="shared" si="48"/>
        <v>1.7766370857134461</v>
      </c>
      <c r="R77" s="1077">
        <f t="shared" si="48"/>
        <v>1.8077025692909956</v>
      </c>
      <c r="S77" s="1077">
        <f t="shared" si="48"/>
        <v>1.8400106709450483</v>
      </c>
      <c r="T77" s="1077">
        <f t="shared" si="48"/>
        <v>1.8736111000180244</v>
      </c>
      <c r="U77" s="1077">
        <f t="shared" si="48"/>
        <v>1.9085555411875248</v>
      </c>
      <c r="V77" s="1077">
        <f>+(V12+V51)-(V33+V48+V49+V59)+1</f>
        <v>2.9448977652937174</v>
      </c>
    </row>
    <row r="78" spans="1:22">
      <c r="A78" s="460" t="s">
        <v>113</v>
      </c>
      <c r="B78" s="1110" t="s">
        <v>114</v>
      </c>
      <c r="C78" s="1256" t="e">
        <f>+C77/C46</f>
        <v>#REF!</v>
      </c>
      <c r="D78" s="1076"/>
      <c r="E78" s="1076"/>
      <c r="F78" s="1076"/>
      <c r="G78" s="1256" t="e">
        <f t="shared" ref="G78:L78" si="49">+G77/G46</f>
        <v>#REF!</v>
      </c>
      <c r="H78" s="1256">
        <f t="shared" si="49"/>
        <v>1.0000144927536232</v>
      </c>
      <c r="I78" s="1256">
        <f t="shared" si="49"/>
        <v>1.0000265846154008</v>
      </c>
      <c r="J78" s="1256">
        <f t="shared" si="49"/>
        <v>1.0000332133333043</v>
      </c>
      <c r="K78" s="1256">
        <f t="shared" si="49"/>
        <v>1.0000343199030242</v>
      </c>
      <c r="L78" s="1256">
        <f t="shared" si="49"/>
        <v>1.0004060319879888</v>
      </c>
      <c r="M78" s="1256">
        <v>1</v>
      </c>
      <c r="N78" s="1256">
        <v>1</v>
      </c>
      <c r="O78" s="1256">
        <v>1</v>
      </c>
      <c r="P78" s="1256">
        <v>1</v>
      </c>
      <c r="Q78" s="1256">
        <v>1</v>
      </c>
      <c r="R78" s="1256">
        <v>1</v>
      </c>
      <c r="S78" s="1256">
        <v>1</v>
      </c>
      <c r="T78" s="1256">
        <v>2</v>
      </c>
      <c r="U78" s="1256">
        <v>2</v>
      </c>
      <c r="V78" s="1256">
        <v>2</v>
      </c>
    </row>
    <row r="79" spans="1:22" ht="12.75" hidden="1" customHeight="1">
      <c r="A79" s="461"/>
      <c r="B79" s="1101"/>
      <c r="C79" s="1091"/>
      <c r="D79" s="1076"/>
      <c r="E79" s="1076"/>
      <c r="F79" s="1076"/>
      <c r="G79" s="1076"/>
      <c r="H79" s="1076"/>
      <c r="I79" s="1076"/>
      <c r="J79" s="1076"/>
      <c r="K79" s="1076"/>
      <c r="L79" s="1076"/>
      <c r="M79" s="1076"/>
      <c r="N79" s="1076"/>
      <c r="O79" s="1076"/>
      <c r="P79" s="1076"/>
      <c r="Q79" s="1076"/>
      <c r="R79" s="1076"/>
      <c r="S79" s="1076"/>
      <c r="T79" s="1076"/>
      <c r="U79" s="1076"/>
    </row>
    <row r="80" spans="1:22" ht="4.5" hidden="1" customHeight="1">
      <c r="A80" s="461"/>
      <c r="B80" s="1101"/>
      <c r="C80" s="1091"/>
      <c r="D80" s="1076"/>
      <c r="E80" s="1079"/>
      <c r="F80" s="1079"/>
      <c r="G80" s="1076"/>
      <c r="H80" s="1076"/>
      <c r="I80" s="1076"/>
      <c r="J80" s="1076"/>
      <c r="K80" s="1076"/>
      <c r="L80" s="1076"/>
      <c r="M80" s="1076"/>
      <c r="N80" s="1076"/>
      <c r="O80" s="1076"/>
      <c r="P80" s="1076"/>
      <c r="Q80" s="1076"/>
      <c r="R80" s="1076"/>
      <c r="S80" s="1076"/>
      <c r="T80" s="1076"/>
      <c r="U80" s="1076"/>
    </row>
    <row r="81" spans="1:22" ht="4.5" hidden="1" customHeight="1">
      <c r="A81" s="461"/>
      <c r="B81" s="1101"/>
      <c r="C81" s="1091"/>
      <c r="D81" s="1076"/>
      <c r="E81" s="1079"/>
      <c r="F81" s="1079"/>
      <c r="G81" s="1076"/>
      <c r="H81" s="1076"/>
      <c r="I81" s="1076"/>
      <c r="J81" s="1076"/>
      <c r="K81" s="1076"/>
      <c r="L81" s="1076"/>
      <c r="M81" s="1076"/>
      <c r="N81" s="1076"/>
      <c r="O81" s="1076"/>
      <c r="P81" s="1076"/>
      <c r="Q81" s="1076"/>
      <c r="R81" s="1076"/>
      <c r="S81" s="1076"/>
      <c r="T81" s="1076"/>
      <c r="U81" s="1076"/>
    </row>
    <row r="82" spans="1:22" hidden="1">
      <c r="A82" s="461"/>
      <c r="B82" s="1101"/>
      <c r="C82" s="1076"/>
      <c r="D82" s="1076"/>
      <c r="E82" s="1076"/>
      <c r="F82" s="1076"/>
      <c r="G82" s="1076"/>
      <c r="H82" s="1076"/>
      <c r="I82" s="1076"/>
      <c r="J82" s="1076"/>
      <c r="K82" s="1076"/>
      <c r="L82" s="1076"/>
      <c r="M82" s="1076"/>
      <c r="N82" s="1076"/>
      <c r="O82" s="1076"/>
      <c r="P82" s="1076"/>
      <c r="Q82" s="1076"/>
      <c r="R82" s="1076"/>
      <c r="S82" s="1076"/>
      <c r="T82" s="1076"/>
      <c r="U82" s="1076"/>
    </row>
    <row r="83" spans="1:22" ht="4.5" hidden="1" customHeight="1">
      <c r="A83" s="461"/>
      <c r="B83" s="1101"/>
      <c r="C83" s="1076"/>
      <c r="D83" s="1076"/>
      <c r="E83" s="1076"/>
      <c r="F83" s="1076"/>
      <c r="G83" s="1076"/>
      <c r="H83" s="1076"/>
      <c r="I83" s="1076"/>
      <c r="J83" s="1076"/>
      <c r="K83" s="1076"/>
      <c r="L83" s="1076"/>
      <c r="M83" s="1076"/>
      <c r="N83" s="1076"/>
      <c r="O83" s="1076"/>
      <c r="P83" s="1076"/>
      <c r="Q83" s="1076"/>
      <c r="R83" s="1076"/>
      <c r="S83" s="1076"/>
      <c r="T83" s="1076"/>
      <c r="U83" s="1076"/>
    </row>
    <row r="84" spans="1:22" ht="4.5" hidden="1" customHeight="1" thickBot="1">
      <c r="A84" s="461"/>
      <c r="B84" s="1101"/>
      <c r="C84" s="1076"/>
      <c r="D84" s="1076"/>
      <c r="E84" s="1076"/>
      <c r="F84" s="1076"/>
      <c r="G84" s="1076"/>
      <c r="H84" s="1076"/>
      <c r="I84" s="1076"/>
      <c r="J84" s="1076"/>
      <c r="K84" s="1076"/>
      <c r="L84" s="1076"/>
      <c r="M84" s="1076"/>
      <c r="N84" s="1076"/>
      <c r="O84" s="1076"/>
      <c r="P84" s="1076"/>
      <c r="Q84" s="1076"/>
      <c r="R84" s="1076"/>
      <c r="S84" s="1076"/>
      <c r="T84" s="1076"/>
      <c r="U84" s="1076"/>
    </row>
    <row r="85" spans="1:22">
      <c r="A85" s="460" t="s">
        <v>115</v>
      </c>
      <c r="B85" s="1110" t="s">
        <v>116</v>
      </c>
      <c r="C85" s="1076"/>
      <c r="D85" s="1076"/>
      <c r="E85" s="1076"/>
      <c r="F85" s="1076"/>
      <c r="G85" s="1092"/>
      <c r="H85" s="1092"/>
      <c r="I85" s="1092"/>
      <c r="J85" s="1092"/>
      <c r="K85" s="1092"/>
      <c r="L85" s="1092"/>
      <c r="M85" s="1092"/>
      <c r="N85" s="1092"/>
      <c r="O85" s="1092"/>
      <c r="P85" s="1092"/>
      <c r="Q85" s="1092"/>
      <c r="R85" s="1092"/>
      <c r="S85" s="1092"/>
      <c r="T85" s="1092"/>
      <c r="U85" s="1092"/>
      <c r="V85" s="1092"/>
    </row>
    <row r="86" spans="1:22">
      <c r="A86" s="460" t="s">
        <v>117</v>
      </c>
      <c r="B86" s="1101" t="s">
        <v>53</v>
      </c>
      <c r="C86" s="1089">
        <f>+C11+C67+C70</f>
        <v>0</v>
      </c>
      <c r="D86" s="1076"/>
      <c r="E86" s="1076"/>
      <c r="F86" s="1076"/>
      <c r="G86" s="1089">
        <f t="shared" ref="G86:O86" si="50">+G11+G67+G70</f>
        <v>5400742.3824000005</v>
      </c>
      <c r="H86" s="1089">
        <f t="shared" si="50"/>
        <v>5741239</v>
      </c>
      <c r="I86" s="1089">
        <f t="shared" si="50"/>
        <v>5672107.3600000003</v>
      </c>
      <c r="J86" s="1089">
        <f t="shared" si="50"/>
        <v>5898991.6543999994</v>
      </c>
      <c r="K86" s="1089">
        <f t="shared" si="50"/>
        <v>6134951.320576</v>
      </c>
      <c r="L86" s="1089">
        <f t="shared" si="50"/>
        <v>6428349.3726950409</v>
      </c>
      <c r="M86" s="1089">
        <f t="shared" si="50"/>
        <v>6685483.3476028424</v>
      </c>
      <c r="N86" s="1089">
        <f t="shared" si="50"/>
        <v>6952902.6815069569</v>
      </c>
      <c r="O86" s="1089">
        <f t="shared" si="50"/>
        <v>7231018.7887672344</v>
      </c>
      <c r="P86" s="1089">
        <f t="shared" ref="P86:U86" si="51">+P11+P67+P70</f>
        <v>7520259.5403179247</v>
      </c>
      <c r="Q86" s="1089">
        <f t="shared" si="51"/>
        <v>7821069.9219306419</v>
      </c>
      <c r="R86" s="1089">
        <f t="shared" si="51"/>
        <v>8133912.7188078668</v>
      </c>
      <c r="S86" s="1089">
        <f t="shared" si="51"/>
        <v>8459269.227560183</v>
      </c>
      <c r="T86" s="1089">
        <f t="shared" si="51"/>
        <v>8797639.9966625907</v>
      </c>
      <c r="U86" s="1089">
        <f t="shared" si="51"/>
        <v>9149545.5965290926</v>
      </c>
      <c r="V86" s="1089">
        <f>+V11+V67+V70</f>
        <v>9515527.4203902595</v>
      </c>
    </row>
    <row r="87" spans="1:22">
      <c r="A87" s="460" t="s">
        <v>118</v>
      </c>
      <c r="B87" s="1101" t="s">
        <v>119</v>
      </c>
      <c r="C87" s="1089" t="e">
        <f>+C31+C68+#REF!</f>
        <v>#REF!</v>
      </c>
      <c r="D87" s="1076"/>
      <c r="E87" s="1076"/>
      <c r="F87" s="1076"/>
      <c r="G87" s="1089" t="e">
        <f>+G31+#REF!</f>
        <v>#REF!</v>
      </c>
      <c r="H87" s="1089">
        <f>+H31</f>
        <v>5741239</v>
      </c>
      <c r="I87" s="1089">
        <f t="shared" ref="I87:O87" si="52">+I31</f>
        <v>5672106.6319999993</v>
      </c>
      <c r="J87" s="1089">
        <f t="shared" si="52"/>
        <v>5898991.8572800001</v>
      </c>
      <c r="K87" s="1089">
        <f t="shared" si="52"/>
        <v>6134951.1880192002</v>
      </c>
      <c r="L87" s="1089">
        <f t="shared" si="52"/>
        <v>6428348.7343559694</v>
      </c>
      <c r="M87" s="1089">
        <f t="shared" si="52"/>
        <v>6685482.6837302074</v>
      </c>
      <c r="N87" s="1089">
        <f t="shared" si="52"/>
        <v>6952901.9910794161</v>
      </c>
      <c r="O87" s="1089">
        <f t="shared" si="52"/>
        <v>7231018.0707225921</v>
      </c>
      <c r="P87" s="1089">
        <f t="shared" ref="P87:U87" si="53">+P31</f>
        <v>7520258.7935514953</v>
      </c>
      <c r="Q87" s="1089">
        <f t="shared" si="53"/>
        <v>7821069.1452935562</v>
      </c>
      <c r="R87" s="1089">
        <f t="shared" si="53"/>
        <v>8133911.9111052975</v>
      </c>
      <c r="S87" s="1089">
        <f t="shared" si="53"/>
        <v>8459268.3875495121</v>
      </c>
      <c r="T87" s="1089">
        <f t="shared" si="53"/>
        <v>8797639.1230514906</v>
      </c>
      <c r="U87" s="1089">
        <f t="shared" si="53"/>
        <v>9149544.6879735515</v>
      </c>
      <c r="V87" s="1089">
        <f>+V31</f>
        <v>9515525.4754924942</v>
      </c>
    </row>
    <row r="88" spans="1:22">
      <c r="A88" s="460" t="s">
        <v>120</v>
      </c>
      <c r="B88" s="1110" t="s">
        <v>121</v>
      </c>
      <c r="C88" s="1089" t="e">
        <f>+C86-C87</f>
        <v>#REF!</v>
      </c>
      <c r="D88" s="1076"/>
      <c r="E88" s="1076"/>
      <c r="F88" s="1076"/>
      <c r="G88" s="1089" t="e">
        <f>+G86-G87</f>
        <v>#REF!</v>
      </c>
      <c r="H88" s="1089">
        <f>+H86-H87</f>
        <v>0</v>
      </c>
      <c r="I88" s="1089">
        <f t="shared" ref="I88:O88" si="54">+I86-I87</f>
        <v>0.72800000105053186</v>
      </c>
      <c r="J88" s="1089">
        <f t="shared" si="54"/>
        <v>-0.2028800006955862</v>
      </c>
      <c r="K88" s="1089">
        <f t="shared" si="54"/>
        <v>0.13255679979920387</v>
      </c>
      <c r="L88" s="1089">
        <f t="shared" si="54"/>
        <v>0.63833907153457403</v>
      </c>
      <c r="M88" s="1089">
        <f t="shared" si="54"/>
        <v>0.66387263499200344</v>
      </c>
      <c r="N88" s="1089">
        <f t="shared" si="54"/>
        <v>0.69042754080146551</v>
      </c>
      <c r="O88" s="1089">
        <f t="shared" si="54"/>
        <v>0.71804464235901833</v>
      </c>
      <c r="P88" s="1089">
        <f t="shared" ref="P88:V88" si="55">+P86-P87</f>
        <v>0.74676642939448357</v>
      </c>
      <c r="Q88" s="1089">
        <f t="shared" si="55"/>
        <v>0.77663708571344614</v>
      </c>
      <c r="R88" s="1089">
        <f t="shared" si="55"/>
        <v>0.8077025692909956</v>
      </c>
      <c r="S88" s="1089">
        <f t="shared" si="55"/>
        <v>0.84001067094504833</v>
      </c>
      <c r="T88" s="1089">
        <f t="shared" si="55"/>
        <v>0.87361110001802444</v>
      </c>
      <c r="U88" s="1089">
        <f t="shared" si="55"/>
        <v>0.9085555411875248</v>
      </c>
      <c r="V88" s="1089">
        <f t="shared" si="55"/>
        <v>1.9448977652937174</v>
      </c>
    </row>
    <row r="89" spans="1:22" ht="3" hidden="1" customHeight="1">
      <c r="A89" s="461"/>
      <c r="B89" s="1101"/>
      <c r="C89" s="1076"/>
      <c r="D89" s="1076"/>
      <c r="E89" s="1076"/>
      <c r="F89" s="1076"/>
      <c r="G89" s="1076"/>
      <c r="H89" s="1076"/>
      <c r="I89" s="1076"/>
      <c r="J89" s="1076"/>
      <c r="K89" s="1076"/>
      <c r="L89" s="1076"/>
      <c r="M89" s="1076"/>
      <c r="N89" s="1076"/>
      <c r="O89" s="1076"/>
      <c r="P89" s="1076"/>
      <c r="Q89" s="1076"/>
      <c r="R89" s="1076"/>
      <c r="S89" s="1076"/>
      <c r="T89" s="1076"/>
      <c r="U89" s="1076"/>
      <c r="V89" s="1076"/>
    </row>
    <row r="90" spans="1:22" ht="9.75" hidden="1" customHeight="1" thickBot="1">
      <c r="A90" s="461"/>
      <c r="B90" s="1101"/>
      <c r="C90" s="1076"/>
      <c r="D90" s="1076"/>
      <c r="E90" s="1076"/>
      <c r="F90" s="1076"/>
      <c r="G90" s="1076"/>
      <c r="H90" s="1076"/>
      <c r="I90" s="1076"/>
      <c r="J90" s="1076"/>
      <c r="K90" s="1076"/>
      <c r="L90" s="1076"/>
      <c r="M90" s="1076"/>
      <c r="N90" s="1076"/>
      <c r="O90" s="1076"/>
      <c r="P90" s="1076"/>
      <c r="Q90" s="1076"/>
      <c r="R90" s="1076"/>
      <c r="S90" s="1076"/>
      <c r="T90" s="1076"/>
      <c r="U90" s="1076"/>
      <c r="V90" s="1076"/>
    </row>
    <row r="91" spans="1:22" ht="26.25" customHeight="1">
      <c r="A91" s="461"/>
      <c r="B91" s="1110" t="s">
        <v>122</v>
      </c>
      <c r="C91" s="1093" t="e">
        <f>+C77/C12</f>
        <v>#REF!</v>
      </c>
      <c r="D91" s="1076"/>
      <c r="E91" s="1079"/>
      <c r="F91" s="1079"/>
      <c r="G91" s="1093" t="e">
        <f t="shared" ref="G91:O91" si="56">+G77/G12</f>
        <v>#REF!</v>
      </c>
      <c r="H91" s="1093">
        <f t="shared" si="56"/>
        <v>1.2019662489284801E-2</v>
      </c>
      <c r="I91" s="1093">
        <f t="shared" si="56"/>
        <v>1.1470001161227523E-2</v>
      </c>
      <c r="J91" s="1093">
        <f t="shared" si="56"/>
        <v>4.0722167540621418E-3</v>
      </c>
      <c r="K91" s="1093">
        <f t="shared" si="56"/>
        <v>5.3839463775416548E-3</v>
      </c>
      <c r="L91" s="1093">
        <f t="shared" si="56"/>
        <v>6.284931603530294E-4</v>
      </c>
      <c r="M91" s="1093">
        <f t="shared" si="56"/>
        <v>5.9908436053171868E-4</v>
      </c>
      <c r="N91" s="1093">
        <f t="shared" si="56"/>
        <v>4.320956923104335E-4</v>
      </c>
      <c r="O91" s="1093">
        <f t="shared" si="56"/>
        <v>2.3780180223588764E-7</v>
      </c>
      <c r="P91" s="1093">
        <f t="shared" ref="P91:U91" si="57">+P77/P12</f>
        <v>2.3247817872182735E-7</v>
      </c>
      <c r="Q91" s="1093">
        <f t="shared" si="57"/>
        <v>2.2735930967703608E-7</v>
      </c>
      <c r="R91" s="1093">
        <f t="shared" si="57"/>
        <v>2.2243732033465757E-7</v>
      </c>
      <c r="S91" s="1093">
        <f t="shared" si="57"/>
        <v>2.1770463812481797E-7</v>
      </c>
      <c r="T91" s="1093">
        <f t="shared" si="57"/>
        <v>2.1315398253524993E-7</v>
      </c>
      <c r="U91" s="1093">
        <f t="shared" si="57"/>
        <v>2.0877835160644851E-7</v>
      </c>
      <c r="V91" s="1093">
        <f>+V77/V12</f>
        <v>3.0975444307487867E-7</v>
      </c>
    </row>
    <row r="92" spans="1:22">
      <c r="A92" s="461"/>
      <c r="B92" s="1110" t="s">
        <v>123</v>
      </c>
      <c r="C92" s="1094" t="e">
        <f>+C32/C12</f>
        <v>#REF!</v>
      </c>
      <c r="D92" s="1076"/>
      <c r="E92" s="1076"/>
      <c r="F92" s="1076"/>
      <c r="G92" s="1094" t="e">
        <f t="shared" ref="G92:O92" si="58">+G32/G12</f>
        <v>#REF!</v>
      </c>
      <c r="H92" s="1094">
        <f t="shared" si="58"/>
        <v>0.76372438303008516</v>
      </c>
      <c r="I92" s="1094">
        <f t="shared" si="58"/>
        <v>0.79270436125988608</v>
      </c>
      <c r="J92" s="1094">
        <f t="shared" si="58"/>
        <v>0.76143093817198371</v>
      </c>
      <c r="K92" s="1094">
        <f t="shared" si="58"/>
        <v>0.79840595125121305</v>
      </c>
      <c r="L92" s="1094">
        <f t="shared" si="58"/>
        <v>0.76037155825679126</v>
      </c>
      <c r="M92" s="1094">
        <f t="shared" si="58"/>
        <v>0.76426398747363311</v>
      </c>
      <c r="N92" s="1094">
        <f t="shared" si="58"/>
        <v>0.75632366219253122</v>
      </c>
      <c r="O92" s="1094">
        <f t="shared" si="58"/>
        <v>0.74869427060626592</v>
      </c>
      <c r="P92" s="1094">
        <f t="shared" ref="P92:U92" si="59">+P32/P12</f>
        <v>0.7486942706062657</v>
      </c>
      <c r="Q92" s="1094">
        <f t="shared" si="59"/>
        <v>0.74869427060626581</v>
      </c>
      <c r="R92" s="1094">
        <f t="shared" si="59"/>
        <v>0.74869427060626581</v>
      </c>
      <c r="S92" s="1094">
        <f t="shared" si="59"/>
        <v>0.74869427060626603</v>
      </c>
      <c r="T92" s="1094">
        <f t="shared" si="59"/>
        <v>0.74869427060626581</v>
      </c>
      <c r="U92" s="1094">
        <f t="shared" si="59"/>
        <v>0.74869427060626592</v>
      </c>
      <c r="V92" s="1094">
        <f>+V32/V12</f>
        <v>0.7486941654228374</v>
      </c>
    </row>
    <row r="93" spans="1:22" ht="24.75" customHeight="1">
      <c r="A93" s="461"/>
      <c r="B93" s="1110" t="s">
        <v>124</v>
      </c>
      <c r="C93" s="1094" t="e">
        <f>+C50/C12</f>
        <v>#REF!</v>
      </c>
      <c r="D93" s="1076"/>
      <c r="E93" s="1076"/>
      <c r="F93" s="1076"/>
      <c r="G93" s="1094" t="e">
        <f t="shared" ref="G93:O93" si="60">+G50/G12</f>
        <v>#REF!</v>
      </c>
      <c r="H93" s="1094">
        <f t="shared" si="60"/>
        <v>0.23627561696991486</v>
      </c>
      <c r="I93" s="1094">
        <f t="shared" si="60"/>
        <v>0.20729563874011389</v>
      </c>
      <c r="J93" s="1094">
        <f t="shared" si="60"/>
        <v>0.23856906182801624</v>
      </c>
      <c r="K93" s="1094">
        <f t="shared" si="60"/>
        <v>0.201594048748787</v>
      </c>
      <c r="L93" s="1094">
        <f t="shared" si="60"/>
        <v>0.23962844174320871</v>
      </c>
      <c r="M93" s="1094">
        <f t="shared" si="60"/>
        <v>0.23573601252636686</v>
      </c>
      <c r="N93" s="1094">
        <f t="shared" si="60"/>
        <v>0.24367633780746881</v>
      </c>
      <c r="O93" s="1094">
        <f t="shared" si="60"/>
        <v>0.25130572939373413</v>
      </c>
      <c r="P93" s="1094">
        <f t="shared" ref="P93:U93" si="61">+P50/P12</f>
        <v>0.25130572939373425</v>
      </c>
      <c r="Q93" s="1094">
        <f t="shared" si="61"/>
        <v>0.25130572939373413</v>
      </c>
      <c r="R93" s="1094">
        <f t="shared" si="61"/>
        <v>0.25130572939373413</v>
      </c>
      <c r="S93" s="1094">
        <f t="shared" si="61"/>
        <v>0.25130572939373397</v>
      </c>
      <c r="T93" s="1094">
        <f t="shared" si="61"/>
        <v>0.25130572939373413</v>
      </c>
      <c r="U93" s="1094">
        <f t="shared" si="61"/>
        <v>0.25130572939373408</v>
      </c>
      <c r="V93" s="1094">
        <f>+V50/V12</f>
        <v>0.2513058345771626</v>
      </c>
    </row>
    <row r="94" spans="1:22">
      <c r="A94" s="461"/>
      <c r="B94" s="1110" t="s">
        <v>125</v>
      </c>
      <c r="C94" s="1095"/>
      <c r="D94" s="1076"/>
      <c r="E94" s="1076"/>
      <c r="F94" s="1076"/>
      <c r="G94" s="1095">
        <v>0</v>
      </c>
      <c r="H94" s="1095">
        <v>0</v>
      </c>
      <c r="I94" s="1095">
        <v>0</v>
      </c>
      <c r="J94" s="1095">
        <v>0</v>
      </c>
      <c r="K94" s="1095">
        <v>0</v>
      </c>
      <c r="L94" s="1095">
        <v>0</v>
      </c>
      <c r="M94" s="1095">
        <v>0</v>
      </c>
      <c r="N94" s="1095">
        <v>0</v>
      </c>
      <c r="O94" s="1095">
        <v>0</v>
      </c>
      <c r="P94" s="1095">
        <v>0</v>
      </c>
      <c r="Q94" s="1095">
        <v>0</v>
      </c>
      <c r="R94" s="1095">
        <v>0</v>
      </c>
      <c r="S94" s="1095">
        <v>0</v>
      </c>
      <c r="T94" s="1095">
        <v>1</v>
      </c>
      <c r="U94" s="1095">
        <v>1</v>
      </c>
      <c r="V94" s="1095">
        <v>1</v>
      </c>
    </row>
    <row r="95" spans="1:22">
      <c r="A95" s="461"/>
      <c r="B95" s="1110" t="s">
        <v>126</v>
      </c>
      <c r="C95" s="1094" t="e">
        <f>+C94/C12</f>
        <v>#DIV/0!</v>
      </c>
      <c r="D95" s="1076"/>
      <c r="E95" s="1079"/>
      <c r="F95" s="1079"/>
      <c r="G95" s="1094">
        <f t="shared" ref="G95:O95" si="62">+G94/G12</f>
        <v>0</v>
      </c>
      <c r="H95" s="1094">
        <f t="shared" si="62"/>
        <v>0</v>
      </c>
      <c r="I95" s="1094">
        <f t="shared" si="62"/>
        <v>0</v>
      </c>
      <c r="J95" s="1094">
        <f t="shared" si="62"/>
        <v>0</v>
      </c>
      <c r="K95" s="1094">
        <f t="shared" si="62"/>
        <v>0</v>
      </c>
      <c r="L95" s="1094">
        <f t="shared" si="62"/>
        <v>0</v>
      </c>
      <c r="M95" s="1094">
        <f t="shared" si="62"/>
        <v>0</v>
      </c>
      <c r="N95" s="1094">
        <f t="shared" si="62"/>
        <v>0</v>
      </c>
      <c r="O95" s="1094">
        <f t="shared" si="62"/>
        <v>0</v>
      </c>
      <c r="P95" s="1094">
        <f t="shared" ref="P95:V95" si="63">+P94/P12</f>
        <v>0</v>
      </c>
      <c r="Q95" s="1094">
        <f t="shared" si="63"/>
        <v>0</v>
      </c>
      <c r="R95" s="1094">
        <f t="shared" si="63"/>
        <v>0</v>
      </c>
      <c r="S95" s="1094">
        <f t="shared" si="63"/>
        <v>0</v>
      </c>
      <c r="T95" s="1094">
        <f t="shared" si="63"/>
        <v>1.1376639609639342E-7</v>
      </c>
      <c r="U95" s="1094">
        <f t="shared" si="63"/>
        <v>1.0939076547730136E-7</v>
      </c>
      <c r="V95" s="1094">
        <f t="shared" si="63"/>
        <v>1.0518342834355896E-7</v>
      </c>
    </row>
    <row r="96" spans="1:22">
      <c r="A96" s="461"/>
      <c r="B96" s="1110" t="s">
        <v>127</v>
      </c>
      <c r="C96" s="1094" t="e">
        <f>+C63/C12</f>
        <v>#REF!</v>
      </c>
      <c r="D96" s="1076"/>
      <c r="E96" s="1076"/>
      <c r="F96" s="1076"/>
      <c r="G96" s="1094" t="e">
        <f t="shared" ref="G96:O96" si="64">+G63/G12</f>
        <v>#REF!</v>
      </c>
      <c r="H96" s="1094">
        <f t="shared" si="64"/>
        <v>0</v>
      </c>
      <c r="I96" s="1094">
        <f t="shared" si="64"/>
        <v>1.2846059803336256E-7</v>
      </c>
      <c r="J96" s="1094">
        <f t="shared" si="64"/>
        <v>-3.4422662414830337E-8</v>
      </c>
      <c r="K96" s="1094">
        <f t="shared" si="64"/>
        <v>2.1625885138005249E-8</v>
      </c>
      <c r="L96" s="1094">
        <f t="shared" si="64"/>
        <v>9.9387586164215505E-8</v>
      </c>
      <c r="M96" s="1094">
        <f t="shared" si="64"/>
        <v>9.9387586111233171E-8</v>
      </c>
      <c r="N96" s="1094">
        <f t="shared" si="64"/>
        <v>2.4333837088645087E-7</v>
      </c>
      <c r="O96" s="1094">
        <f t="shared" si="64"/>
        <v>9.9387586197395466E-8</v>
      </c>
      <c r="P96" s="1094">
        <f t="shared" ref="P96:U96" si="65">+P63/P12</f>
        <v>9.9387586377123351E-8</v>
      </c>
      <c r="Q96" s="1094">
        <f t="shared" si="65"/>
        <v>9.9387586298462591E-8</v>
      </c>
      <c r="R96" s="1094">
        <f t="shared" si="65"/>
        <v>9.9387586202199453E-8</v>
      </c>
      <c r="S96" s="1094">
        <f t="shared" si="65"/>
        <v>9.9387586074377483E-8</v>
      </c>
      <c r="T96" s="1094">
        <f t="shared" si="65"/>
        <v>9.9387586279926717E-8</v>
      </c>
      <c r="U96" s="1094">
        <f t="shared" si="65"/>
        <v>9.9387586180086189E-8</v>
      </c>
      <c r="V96" s="1094">
        <f>+V63/V12</f>
        <v>2.0457101478029955E-7</v>
      </c>
    </row>
    <row r="97" spans="1:6" s="455" customFormat="1">
      <c r="A97" s="461"/>
      <c r="B97" s="1102"/>
      <c r="E97" s="453"/>
      <c r="F97" s="453"/>
    </row>
    <row r="98" spans="1:6" s="455" customFormat="1">
      <c r="A98" s="461"/>
      <c r="B98" s="1102"/>
      <c r="E98" s="453"/>
      <c r="F98" s="453"/>
    </row>
    <row r="99" spans="1:6" s="455" customFormat="1">
      <c r="A99" s="461"/>
      <c r="B99" s="1102"/>
      <c r="E99" s="453"/>
      <c r="F99" s="453"/>
    </row>
    <row r="100" spans="1:6" s="455" customFormat="1">
      <c r="A100" s="461"/>
      <c r="B100" s="1102"/>
      <c r="E100" s="453"/>
      <c r="F100" s="453"/>
    </row>
    <row r="101" spans="1:6" s="455" customFormat="1">
      <c r="A101" s="461"/>
      <c r="B101" s="1102"/>
      <c r="E101" s="453"/>
      <c r="F101" s="453"/>
    </row>
    <row r="102" spans="1:6" s="455" customFormat="1">
      <c r="A102" s="461"/>
      <c r="B102" s="1102"/>
      <c r="E102" s="453"/>
      <c r="F102" s="453"/>
    </row>
    <row r="103" spans="1:6" s="455" customFormat="1">
      <c r="A103" s="461"/>
      <c r="B103" s="1102"/>
      <c r="E103" s="453"/>
      <c r="F103" s="453"/>
    </row>
    <row r="104" spans="1:6" s="455" customFormat="1">
      <c r="A104" s="461"/>
      <c r="B104" s="1102"/>
      <c r="E104" s="453"/>
      <c r="F104" s="453"/>
    </row>
    <row r="105" spans="1:6" s="455" customFormat="1">
      <c r="A105" s="461"/>
      <c r="B105" s="1102"/>
      <c r="E105" s="453"/>
      <c r="F105" s="453"/>
    </row>
    <row r="106" spans="1:6" s="455" customFormat="1">
      <c r="A106" s="461"/>
      <c r="B106" s="1102"/>
      <c r="E106" s="453"/>
      <c r="F106" s="453"/>
    </row>
    <row r="107" spans="1:6" s="455" customFormat="1" ht="12.75">
      <c r="A107" s="461"/>
      <c r="B107" s="1241" t="s">
        <v>264</v>
      </c>
      <c r="E107" s="453"/>
      <c r="F107" s="453"/>
    </row>
    <row r="108" spans="1:6" s="455" customFormat="1" ht="12.75">
      <c r="A108" s="461"/>
      <c r="B108" s="1241" t="s">
        <v>265</v>
      </c>
      <c r="E108" s="453"/>
      <c r="F108" s="453"/>
    </row>
    <row r="109" spans="1:6" s="455" customFormat="1" ht="12.75">
      <c r="A109" s="461"/>
      <c r="B109" s="1263" t="s">
        <v>266</v>
      </c>
      <c r="E109" s="453"/>
      <c r="F109" s="453"/>
    </row>
    <row r="110" spans="1:6" s="455" customFormat="1">
      <c r="A110" s="461"/>
      <c r="B110" s="1102"/>
      <c r="E110" s="453"/>
      <c r="F110" s="453"/>
    </row>
    <row r="111" spans="1:6" s="455" customFormat="1">
      <c r="A111" s="461"/>
      <c r="B111" s="1102"/>
      <c r="E111" s="453"/>
      <c r="F111" s="453"/>
    </row>
    <row r="112" spans="1:6" s="455" customFormat="1">
      <c r="A112" s="461"/>
      <c r="B112" s="1102"/>
      <c r="E112" s="453"/>
      <c r="F112" s="453"/>
    </row>
    <row r="113" spans="1:22" s="455" customFormat="1">
      <c r="A113" s="461"/>
      <c r="B113" s="1102"/>
      <c r="E113" s="453"/>
      <c r="F113" s="453"/>
    </row>
    <row r="114" spans="1:22" s="455" customFormat="1">
      <c r="A114" s="461"/>
      <c r="B114" s="1102"/>
      <c r="E114" s="453"/>
      <c r="F114" s="453"/>
    </row>
    <row r="115" spans="1:22" s="455" customFormat="1" ht="14.25">
      <c r="A115" s="461"/>
      <c r="B115" s="1318" t="s">
        <v>898</v>
      </c>
      <c r="C115" s="1318"/>
      <c r="D115" s="1318"/>
      <c r="E115" s="1318"/>
      <c r="F115" s="1318"/>
      <c r="G115" s="1318"/>
      <c r="H115" s="1318"/>
      <c r="I115" s="1318"/>
      <c r="J115" s="1318"/>
      <c r="K115" s="1318"/>
      <c r="L115" s="1318"/>
      <c r="M115" s="1318"/>
      <c r="N115" s="1318"/>
      <c r="O115" s="1318"/>
      <c r="P115" s="1318"/>
      <c r="Q115" s="1318"/>
      <c r="R115" s="1318"/>
      <c r="S115" s="1318"/>
      <c r="T115" s="1318"/>
      <c r="U115" s="1318"/>
      <c r="V115" s="1318"/>
    </row>
    <row r="116" spans="1:22" s="455" customFormat="1" ht="14.25">
      <c r="A116" s="461"/>
      <c r="B116" s="1318" t="s">
        <v>529</v>
      </c>
      <c r="C116" s="1318"/>
      <c r="D116" s="1318"/>
      <c r="E116" s="1318"/>
      <c r="F116" s="1318"/>
      <c r="G116" s="1318"/>
      <c r="H116" s="1318"/>
      <c r="I116" s="1318"/>
      <c r="J116" s="1318"/>
      <c r="K116" s="1318"/>
      <c r="L116" s="1318"/>
      <c r="M116" s="1318"/>
      <c r="N116" s="1318"/>
      <c r="O116" s="1318"/>
      <c r="P116" s="1318"/>
      <c r="Q116" s="1318"/>
      <c r="R116" s="1318"/>
      <c r="S116" s="1318"/>
      <c r="T116" s="1318"/>
      <c r="U116" s="1318"/>
      <c r="V116" s="1318"/>
    </row>
    <row r="117" spans="1:22" s="455" customFormat="1" ht="12.75" customHeight="1">
      <c r="A117" s="461"/>
      <c r="B117" s="1319" t="s">
        <v>536</v>
      </c>
      <c r="C117" s="1319"/>
      <c r="D117" s="1319"/>
      <c r="E117" s="1319"/>
      <c r="F117" s="1319"/>
      <c r="G117" s="1319"/>
      <c r="H117" s="1319"/>
      <c r="I117" s="1319"/>
      <c r="J117" s="1319"/>
      <c r="K117" s="1319"/>
      <c r="L117" s="1319"/>
      <c r="M117" s="1319"/>
      <c r="N117" s="1319"/>
      <c r="O117" s="1319"/>
      <c r="P117" s="1319"/>
      <c r="Q117" s="1319"/>
      <c r="R117" s="1319"/>
      <c r="S117" s="1319"/>
      <c r="T117" s="1319"/>
      <c r="U117" s="1319"/>
      <c r="V117" s="1319"/>
    </row>
    <row r="118" spans="1:22" s="455" customFormat="1" ht="14.25">
      <c r="A118" s="461"/>
      <c r="B118" s="1318" t="s">
        <v>1347</v>
      </c>
      <c r="C118" s="1318"/>
      <c r="D118" s="1318"/>
      <c r="E118" s="1318"/>
      <c r="F118" s="1318"/>
      <c r="G118" s="1318"/>
      <c r="H118" s="1318"/>
      <c r="I118" s="1318"/>
      <c r="J118" s="1318"/>
      <c r="K118" s="1318"/>
      <c r="L118" s="1318"/>
      <c r="M118" s="1318"/>
      <c r="N118" s="1318"/>
      <c r="O118" s="1318"/>
      <c r="P118" s="1318"/>
      <c r="Q118" s="1318"/>
      <c r="R118" s="1318"/>
      <c r="S118" s="1318"/>
      <c r="T118" s="1318"/>
      <c r="U118" s="1318"/>
      <c r="V118" s="1318"/>
    </row>
    <row r="119" spans="1:22" s="455" customFormat="1" ht="14.25">
      <c r="A119" s="461"/>
      <c r="B119" s="1318" t="s">
        <v>490</v>
      </c>
      <c r="C119" s="1318"/>
      <c r="D119" s="1318"/>
      <c r="E119" s="1318"/>
      <c r="F119" s="1318"/>
      <c r="G119" s="1318"/>
      <c r="H119" s="1318"/>
      <c r="I119" s="1318"/>
      <c r="J119" s="1318"/>
      <c r="K119" s="1318"/>
      <c r="L119" s="1318"/>
      <c r="M119" s="1318"/>
      <c r="N119" s="1318"/>
      <c r="O119" s="1318"/>
      <c r="P119" s="1318"/>
      <c r="Q119" s="1318"/>
      <c r="R119" s="1318"/>
      <c r="S119" s="1318"/>
      <c r="T119" s="1318"/>
      <c r="U119" s="1318"/>
      <c r="V119" s="1318"/>
    </row>
    <row r="120" spans="1:22" s="455" customFormat="1" ht="14.25">
      <c r="A120" s="461"/>
      <c r="B120" s="1318" t="s">
        <v>537</v>
      </c>
      <c r="C120" s="1318"/>
      <c r="D120" s="1318"/>
      <c r="E120" s="1318"/>
      <c r="F120" s="1318"/>
      <c r="G120" s="1318"/>
      <c r="H120" s="1318"/>
      <c r="I120" s="1318"/>
      <c r="J120" s="1318"/>
      <c r="K120" s="1318"/>
      <c r="L120" s="1318"/>
      <c r="M120" s="1318"/>
      <c r="N120" s="1318"/>
      <c r="O120" s="1318"/>
      <c r="P120" s="1318"/>
      <c r="Q120" s="1318"/>
      <c r="R120" s="1318"/>
      <c r="S120" s="1318"/>
      <c r="T120" s="1318"/>
      <c r="U120" s="1318"/>
      <c r="V120" s="1318"/>
    </row>
    <row r="121" spans="1:22" s="455" customFormat="1">
      <c r="A121" s="461"/>
      <c r="B121" s="1102"/>
      <c r="E121" s="453"/>
      <c r="F121" s="453"/>
    </row>
    <row r="122" spans="1:22" s="453" customFormat="1" ht="13.5" hidden="1" thickBot="1">
      <c r="A122" s="863"/>
      <c r="B122" s="883" t="s">
        <v>128</v>
      </c>
      <c r="C122" s="880">
        <f>+Ingresos!B12</f>
        <v>6</v>
      </c>
      <c r="D122" s="454"/>
      <c r="F122" s="864"/>
      <c r="G122" s="881">
        <f>+C122</f>
        <v>6</v>
      </c>
      <c r="H122" s="881">
        <f>+G122</f>
        <v>6</v>
      </c>
      <c r="I122" s="881">
        <f t="shared" ref="I122:O122" si="66">+H122</f>
        <v>6</v>
      </c>
      <c r="J122" s="881">
        <f t="shared" si="66"/>
        <v>6</v>
      </c>
      <c r="K122" s="881">
        <f t="shared" si="66"/>
        <v>6</v>
      </c>
      <c r="L122" s="881">
        <f t="shared" si="66"/>
        <v>6</v>
      </c>
      <c r="M122" s="881">
        <f t="shared" si="66"/>
        <v>6</v>
      </c>
      <c r="N122" s="881">
        <f t="shared" si="66"/>
        <v>6</v>
      </c>
      <c r="O122" s="881">
        <f t="shared" si="66"/>
        <v>6</v>
      </c>
      <c r="P122" s="881">
        <f>+O122</f>
        <v>6</v>
      </c>
      <c r="Q122" s="881">
        <f>+P122</f>
        <v>6</v>
      </c>
      <c r="R122" s="881">
        <f>+Q122</f>
        <v>6</v>
      </c>
      <c r="S122" s="881">
        <f>+R122</f>
        <v>6</v>
      </c>
      <c r="T122" s="881">
        <f>+S122</f>
        <v>6</v>
      </c>
    </row>
    <row r="123" spans="1:22" s="455" customFormat="1" hidden="1">
      <c r="A123" s="461"/>
      <c r="B123" s="1102"/>
      <c r="E123" s="453"/>
      <c r="F123" s="453"/>
      <c r="G123" s="899">
        <f>YEAR(Ingresos!$I$21)</f>
        <v>2002</v>
      </c>
      <c r="H123" s="899">
        <f>+G123+1</f>
        <v>2003</v>
      </c>
      <c r="I123" s="899">
        <f t="shared" ref="I123:O123" si="67">+H123+1</f>
        <v>2004</v>
      </c>
      <c r="J123" s="899">
        <f t="shared" si="67"/>
        <v>2005</v>
      </c>
      <c r="K123" s="899">
        <f t="shared" si="67"/>
        <v>2006</v>
      </c>
      <c r="L123" s="899">
        <f t="shared" si="67"/>
        <v>2007</v>
      </c>
      <c r="M123" s="899">
        <f t="shared" si="67"/>
        <v>2008</v>
      </c>
      <c r="N123" s="899">
        <f t="shared" si="67"/>
        <v>2009</v>
      </c>
      <c r="O123" s="899">
        <f t="shared" si="67"/>
        <v>2010</v>
      </c>
      <c r="P123" s="899">
        <f>+O123+1</f>
        <v>2011</v>
      </c>
      <c r="Q123" s="899">
        <f>+P123+1</f>
        <v>2012</v>
      </c>
      <c r="R123" s="899">
        <f>+Q123+1</f>
        <v>2013</v>
      </c>
      <c r="S123" s="899">
        <f>+R123+1</f>
        <v>2014</v>
      </c>
      <c r="T123" s="899">
        <f>+S123+1</f>
        <v>2015</v>
      </c>
    </row>
    <row r="124" spans="1:22" s="455" customFormat="1" ht="33.75" customHeight="1">
      <c r="A124" s="461"/>
      <c r="B124" s="1221" t="s">
        <v>129</v>
      </c>
      <c r="C124" s="1191" t="str">
        <f>"AÑO             "&amp;" " &amp;Ingresos!$B$10</f>
        <v>AÑO              2005</v>
      </c>
      <c r="D124" s="1076"/>
      <c r="E124" s="1076"/>
      <c r="F124" s="1076"/>
      <c r="G124" s="1098" t="str">
        <f t="shared" ref="G124:O124" si="68">+G9</f>
        <v>Escenario Financiero Año 2007</v>
      </c>
      <c r="H124" s="1098" t="str">
        <f t="shared" si="68"/>
        <v>Escenario Financiero Año 2008</v>
      </c>
      <c r="I124" s="1098" t="str">
        <f t="shared" si="68"/>
        <v>Escenario Financiero Año 2009</v>
      </c>
      <c r="J124" s="1098" t="str">
        <f t="shared" si="68"/>
        <v>Escenario Financiero Año 2010</v>
      </c>
      <c r="K124" s="1098" t="str">
        <f t="shared" si="68"/>
        <v>Escenario Financiero Año 2011</v>
      </c>
      <c r="L124" s="1098" t="str">
        <f t="shared" si="68"/>
        <v>Escenario Financiero Año 2012</v>
      </c>
      <c r="M124" s="1098" t="str">
        <f t="shared" si="68"/>
        <v>Escenario Financiero Año 2013</v>
      </c>
      <c r="N124" s="1098" t="str">
        <f t="shared" si="68"/>
        <v>Escenario Financiero Año 2014</v>
      </c>
      <c r="O124" s="1098" t="str">
        <f t="shared" si="68"/>
        <v>Escenario Financiero Año 2015</v>
      </c>
      <c r="P124" s="1098" t="str">
        <f t="shared" ref="P124:U124" si="69">+P9</f>
        <v>Escenario Financiero Año 2016</v>
      </c>
      <c r="Q124" s="1098" t="str">
        <f t="shared" si="69"/>
        <v>Escenario Financiero Año 2017</v>
      </c>
      <c r="R124" s="1098" t="str">
        <f t="shared" si="69"/>
        <v>Escenario Financiero Año 2018</v>
      </c>
      <c r="S124" s="1098" t="str">
        <f t="shared" si="69"/>
        <v>Escenario Financiero Año 2019</v>
      </c>
      <c r="T124" s="1098" t="str">
        <f t="shared" si="69"/>
        <v>Escenario Financiero Año 2020</v>
      </c>
      <c r="U124" s="1098" t="str">
        <f t="shared" si="69"/>
        <v>Escenario Financiero Año 2021</v>
      </c>
      <c r="V124" s="1098" t="str">
        <f>+V9</f>
        <v>Escenario Financiero Año 2022</v>
      </c>
    </row>
    <row r="125" spans="1:22" ht="12.75">
      <c r="A125" s="461"/>
      <c r="B125" s="1099" t="s">
        <v>130</v>
      </c>
      <c r="C125" s="1222" t="e">
        <f>+'Ley 617'!F9</f>
        <v>#REF!</v>
      </c>
      <c r="D125" s="1076"/>
      <c r="E125" s="1076"/>
      <c r="F125" s="1076"/>
      <c r="G125" s="1222" t="e">
        <f>+'Ley 617'!U9</f>
        <v>#REF!</v>
      </c>
      <c r="H125" s="1222">
        <f>+'Ley 617'!V9</f>
        <v>897906</v>
      </c>
      <c r="I125" s="1222">
        <f>+'Ley 617'!W9</f>
        <v>761820.6</v>
      </c>
      <c r="J125" s="1222">
        <f>+'Ley 617'!X9</f>
        <v>792293.42400000012</v>
      </c>
      <c r="K125" s="1222">
        <f>+'Ley 617'!Y9</f>
        <v>823985.16096000024</v>
      </c>
      <c r="L125" s="1222">
        <f>+'Ley 617'!Z9</f>
        <v>868944.56739840016</v>
      </c>
      <c r="M125" s="1222">
        <f>+'Ley 617'!AA9</f>
        <v>903702.3500943362</v>
      </c>
      <c r="N125" s="1222">
        <f>+'Ley 617'!AB9</f>
        <v>939850.44409810961</v>
      </c>
      <c r="O125" s="1222">
        <f>+'Ley 617'!AC9</f>
        <v>977444.46186203405</v>
      </c>
      <c r="P125" s="1222">
        <f>+'Ley 617'!AD9</f>
        <v>1016542.2403365155</v>
      </c>
      <c r="Q125" s="1222">
        <f>+'Ley 617'!AE9</f>
        <v>1057203.929949976</v>
      </c>
      <c r="R125" s="1222">
        <f>+'Ley 617'!AF9</f>
        <v>1099492.0871479751</v>
      </c>
      <c r="S125" s="1222">
        <f>+'Ley 617'!AG9</f>
        <v>1143471.7706338943</v>
      </c>
      <c r="T125" s="1222">
        <f>+'Ley 617'!AH9</f>
        <v>1189210.6414592499</v>
      </c>
      <c r="U125" s="1222">
        <f>+'Ley 617'!AI9</f>
        <v>1236779.0671176203</v>
      </c>
      <c r="V125" s="1222">
        <f>+'Ley 617'!AJ9</f>
        <v>1286250.2298023249</v>
      </c>
    </row>
    <row r="126" spans="1:22" ht="13.5" customHeight="1">
      <c r="A126" s="461"/>
      <c r="B126" s="1099" t="s">
        <v>131</v>
      </c>
      <c r="C126" s="1222">
        <f>+'Ley 617'!F70+Gastos!J224</f>
        <v>0</v>
      </c>
      <c r="D126" s="1076"/>
      <c r="E126" s="1076"/>
      <c r="F126" s="1076"/>
      <c r="G126" s="1222">
        <f>+'Ley 617'!U70+'Gastos Proyecciones'!H187</f>
        <v>642433</v>
      </c>
      <c r="H126" s="1222">
        <f>+'Ley 617'!V70+'Gastos Proyecciones'!I187</f>
        <v>749625</v>
      </c>
      <c r="I126" s="1222">
        <f>+'Ley 617'!W70+'Gastos Proyecciones'!J187</f>
        <v>617006.91999999993</v>
      </c>
      <c r="J126" s="1222">
        <f>+'Ley 617'!X70+'Gastos Proyecciones'!K187</f>
        <v>640648.1568</v>
      </c>
      <c r="K126" s="1222">
        <f>+'Ley 617'!Y70+'Gastos Proyecciones'!L187</f>
        <v>666274.02752</v>
      </c>
      <c r="L126" s="1222">
        <f>+'Ley 617'!Z70+'Gastos Proyecciones'!M187</f>
        <v>711524.18862079992</v>
      </c>
      <c r="M126" s="1222">
        <f>+'Ley 617'!AA70+'Gastos Proyecciones'!N187</f>
        <v>739985.15616563195</v>
      </c>
      <c r="N126" s="1222">
        <f>+'Ley 617'!AB70+'Gastos Proyecciones'!O187</f>
        <v>769584.56241225731</v>
      </c>
      <c r="O126" s="1222">
        <f>+'Ley 617'!AC70+'Gastos Proyecciones'!P187</f>
        <v>800367.94490874768</v>
      </c>
      <c r="P126" s="1222">
        <f>+'Ley 617'!AD70+'Gastos Proyecciones'!Q187</f>
        <v>832382.66270509758</v>
      </c>
      <c r="Q126" s="1222">
        <f>+'Ley 617'!AE70+'Gastos Proyecciones'!R187</f>
        <v>865677.96921330155</v>
      </c>
      <c r="R126" s="1222">
        <f>+'Ley 617'!AF70+'Gastos Proyecciones'!S187</f>
        <v>900305.08798183361</v>
      </c>
      <c r="S126" s="1222">
        <f>+'Ley 617'!AG70+'Gastos Proyecciones'!T187</f>
        <v>936317.29150110716</v>
      </c>
      <c r="T126" s="1222">
        <f>+'Ley 617'!AH70+'Gastos Proyecciones'!U187</f>
        <v>973769.98316115129</v>
      </c>
      <c r="U126" s="1222">
        <f>+'Ley 617'!AI70+'Gastos Proyecciones'!V187</f>
        <v>1012720.7824875974</v>
      </c>
      <c r="V126" s="1222">
        <f>+'Ley 617'!AJ70+'Gastos Proyecciones'!W187</f>
        <v>1053228.6137871016</v>
      </c>
    </row>
    <row r="127" spans="1:22" s="453" customFormat="1" ht="12.75">
      <c r="A127" s="863"/>
      <c r="B127" s="1099" t="s">
        <v>132</v>
      </c>
      <c r="C127" s="1223" t="e">
        <f>+C126/C125</f>
        <v>#REF!</v>
      </c>
      <c r="D127" s="1076"/>
      <c r="E127" s="1076"/>
      <c r="F127" s="1076"/>
      <c r="G127" s="1223" t="e">
        <f t="shared" ref="G127:O127" si="70">+G126/G125</f>
        <v>#REF!</v>
      </c>
      <c r="H127" s="1223">
        <f t="shared" si="70"/>
        <v>0.83485910551884046</v>
      </c>
      <c r="I127" s="1223">
        <f t="shared" si="70"/>
        <v>0.80991104729906216</v>
      </c>
      <c r="J127" s="1223">
        <f t="shared" si="70"/>
        <v>0.80859961397331992</v>
      </c>
      <c r="K127" s="1223">
        <f t="shared" si="70"/>
        <v>0.80859954655462996</v>
      </c>
      <c r="L127" s="1223">
        <f t="shared" si="70"/>
        <v>0.81883725995443735</v>
      </c>
      <c r="M127" s="1223">
        <f t="shared" si="70"/>
        <v>0.81883725995443735</v>
      </c>
      <c r="N127" s="1223">
        <f t="shared" si="70"/>
        <v>0.81883725995443746</v>
      </c>
      <c r="O127" s="1223">
        <f t="shared" si="70"/>
        <v>0.81883725995443757</v>
      </c>
      <c r="P127" s="1223">
        <f t="shared" ref="P127:V127" si="71">+P126/P125</f>
        <v>0.81883725995443746</v>
      </c>
      <c r="Q127" s="1223">
        <f t="shared" si="71"/>
        <v>0.81883725995443757</v>
      </c>
      <c r="R127" s="1223">
        <f t="shared" si="71"/>
        <v>0.81883725995443757</v>
      </c>
      <c r="S127" s="1223">
        <f t="shared" si="71"/>
        <v>0.81883725995443768</v>
      </c>
      <c r="T127" s="1223">
        <f t="shared" si="71"/>
        <v>0.81883725995443757</v>
      </c>
      <c r="U127" s="1223">
        <f t="shared" si="71"/>
        <v>0.81883725995443746</v>
      </c>
      <c r="V127" s="1223">
        <f t="shared" si="71"/>
        <v>0.81883648250073793</v>
      </c>
    </row>
    <row r="128" spans="1:22" s="453" customFormat="1" ht="12.75">
      <c r="A128" s="863"/>
      <c r="B128" s="1099" t="s">
        <v>133</v>
      </c>
      <c r="C128" s="1222">
        <f>+'Ley 617'!F70</f>
        <v>0</v>
      </c>
      <c r="D128" s="1076"/>
      <c r="E128" s="1076"/>
      <c r="F128" s="1076"/>
      <c r="G128" s="1222">
        <f>+'Ley 617'!U70</f>
        <v>512963</v>
      </c>
      <c r="H128" s="1222">
        <f>+'Ley 617'!V70</f>
        <v>592522</v>
      </c>
      <c r="I128" s="1222">
        <f>+'Ley 617'!W70</f>
        <v>453619.8</v>
      </c>
      <c r="J128" s="1222">
        <f>+'Ley 617'!X70</f>
        <v>470725.55200000003</v>
      </c>
      <c r="K128" s="1222">
        <f>+'Ley 617'!Y70</f>
        <v>471096</v>
      </c>
      <c r="L128" s="1222">
        <f>+'Ley 617'!Z70</f>
        <v>508539.04</v>
      </c>
      <c r="M128" s="1222">
        <f>+'Ley 617'!AA70</f>
        <v>528880.60159999994</v>
      </c>
      <c r="N128" s="1222">
        <f>+'Ley 617'!AB70</f>
        <v>550035.825664</v>
      </c>
      <c r="O128" s="1222">
        <f>+'Ley 617'!AC70</f>
        <v>572037.25869056</v>
      </c>
      <c r="P128" s="1222">
        <f>+'Ley 617'!AD70</f>
        <v>594918.74903818243</v>
      </c>
      <c r="Q128" s="1222">
        <f>+'Ley 617'!AE70</f>
        <v>618715.49899970985</v>
      </c>
      <c r="R128" s="1222">
        <f>+'Ley 617'!AF70</f>
        <v>643464.11895969813</v>
      </c>
      <c r="S128" s="1222">
        <f>+'Ley 617'!AG70</f>
        <v>669202.68371808622</v>
      </c>
      <c r="T128" s="1222">
        <f>+'Ley 617'!AH70</f>
        <v>695970.79106680956</v>
      </c>
      <c r="U128" s="1222">
        <f>+'Ley 617'!AI70</f>
        <v>723809.62270948198</v>
      </c>
      <c r="V128" s="1222">
        <f>+'Ley 617'!AJ70</f>
        <v>752761.00761786138</v>
      </c>
    </row>
    <row r="129" spans="1:22" s="453" customFormat="1" ht="12.75">
      <c r="A129" s="863"/>
      <c r="B129" s="1099" t="s">
        <v>134</v>
      </c>
      <c r="C129" s="1224" t="e">
        <f>+C128/C125</f>
        <v>#REF!</v>
      </c>
      <c r="D129" s="1076"/>
      <c r="E129" s="1079"/>
      <c r="F129" s="1079"/>
      <c r="G129" s="1224" t="e">
        <f t="shared" ref="G129:O129" si="72">+G128/G125</f>
        <v>#REF!</v>
      </c>
      <c r="H129" s="1224">
        <f t="shared" si="72"/>
        <v>0.65989312912487497</v>
      </c>
      <c r="I129" s="1224">
        <f t="shared" si="72"/>
        <v>0.59544176148557815</v>
      </c>
      <c r="J129" s="1224">
        <f t="shared" si="72"/>
        <v>0.5941303281598358</v>
      </c>
      <c r="K129" s="1224">
        <f t="shared" si="72"/>
        <v>0.57172874260398121</v>
      </c>
      <c r="L129" s="1224">
        <f t="shared" si="72"/>
        <v>0.58523760787475088</v>
      </c>
      <c r="M129" s="1224">
        <f t="shared" si="72"/>
        <v>0.58523760787475088</v>
      </c>
      <c r="N129" s="1224">
        <f t="shared" si="72"/>
        <v>0.58523760787475099</v>
      </c>
      <c r="O129" s="1224">
        <f t="shared" si="72"/>
        <v>0.58523760787475088</v>
      </c>
      <c r="P129" s="1224">
        <f t="shared" ref="P129:V129" si="73">+P128/P125</f>
        <v>0.58523760787475088</v>
      </c>
      <c r="Q129" s="1224">
        <f t="shared" si="73"/>
        <v>0.58523760787475099</v>
      </c>
      <c r="R129" s="1224">
        <f t="shared" si="73"/>
        <v>0.58523760787475088</v>
      </c>
      <c r="S129" s="1224">
        <f t="shared" si="73"/>
        <v>0.58523760787475099</v>
      </c>
      <c r="T129" s="1224">
        <f t="shared" si="73"/>
        <v>0.58523760787475099</v>
      </c>
      <c r="U129" s="1224">
        <f t="shared" si="73"/>
        <v>0.58523760787475088</v>
      </c>
      <c r="V129" s="1224">
        <f t="shared" si="73"/>
        <v>0.58523683042105124</v>
      </c>
    </row>
    <row r="130" spans="1:22" s="453" customFormat="1">
      <c r="A130" s="863"/>
      <c r="B130" s="1099" t="s">
        <v>135</v>
      </c>
      <c r="C130" s="1225">
        <f>+IF(C124&gt;=2004,VLOOKUP((2004*10)+C122,$D$229:$E$235,2),IF(C124&lt;2001,VLOOKUP((2001*10)+C122,$D$208:$E$214,2),IF(OR(C124=2001,C124=2002,C124=2003,C124=2004),VLOOKUP((C124*10)+C122,$D$208:$E$235,2))))</f>
        <v>0.8</v>
      </c>
      <c r="D130" s="1076"/>
      <c r="E130" s="1079"/>
      <c r="F130" s="1079"/>
      <c r="G130" s="1225">
        <f t="shared" ref="G130:N130" si="74">+IF(L123&gt;=2004,VLOOKUP((2004*10)+L122,$D$229:$E$235,2),IF(L123&lt;2001,VLOOKUP((2001*10)+L122,$D$208:$E$214,2),IF(OR(L123=2001,L123=2002,L123=2003,L123=2004),VLOOKUP((L123*10)+L122,$D$208:$E$235,2))))</f>
        <v>0.8</v>
      </c>
      <c r="H130" s="1225">
        <f t="shared" si="74"/>
        <v>0.8</v>
      </c>
      <c r="I130" s="1225">
        <f t="shared" si="74"/>
        <v>0.8</v>
      </c>
      <c r="J130" s="1225">
        <f t="shared" si="74"/>
        <v>0.8</v>
      </c>
      <c r="K130" s="1225">
        <f t="shared" si="74"/>
        <v>0.8</v>
      </c>
      <c r="L130" s="1225">
        <f t="shared" si="74"/>
        <v>0.8</v>
      </c>
      <c r="M130" s="1225">
        <f t="shared" si="74"/>
        <v>0.8</v>
      </c>
      <c r="N130" s="1225">
        <f t="shared" si="74"/>
        <v>0.8</v>
      </c>
      <c r="O130" s="1225">
        <v>0.8</v>
      </c>
      <c r="P130" s="1225">
        <v>0.8</v>
      </c>
      <c r="Q130" s="1225">
        <v>0.8</v>
      </c>
      <c r="R130" s="1225">
        <v>0.8</v>
      </c>
      <c r="S130" s="1225">
        <v>0.8</v>
      </c>
      <c r="T130" s="1225">
        <v>1.8</v>
      </c>
      <c r="U130" s="1225">
        <v>1.8</v>
      </c>
      <c r="V130" s="1225">
        <v>1.8</v>
      </c>
    </row>
    <row r="131" spans="1:22" s="453" customFormat="1" ht="12.75">
      <c r="A131" s="863"/>
      <c r="B131" s="875"/>
      <c r="C131" s="865"/>
      <c r="D131" s="454"/>
      <c r="F131" s="864"/>
      <c r="G131" s="454"/>
      <c r="H131" s="454"/>
      <c r="I131" s="454"/>
      <c r="J131" s="454"/>
      <c r="K131" s="454"/>
      <c r="L131" s="454"/>
      <c r="M131" s="454"/>
      <c r="N131" s="454"/>
      <c r="O131" s="454"/>
      <c r="P131" s="454"/>
      <c r="Q131" s="454"/>
      <c r="R131" s="454"/>
      <c r="S131" s="454"/>
    </row>
    <row r="132" spans="1:22" s="453" customFormat="1" ht="33" customHeight="1">
      <c r="A132" s="863"/>
      <c r="B132" s="1221" t="s">
        <v>136</v>
      </c>
      <c r="C132" s="1226" t="s">
        <v>85</v>
      </c>
      <c r="D132" s="1076"/>
      <c r="E132" s="1076"/>
      <c r="F132" s="1076"/>
      <c r="G132" s="1226" t="str">
        <f>"PROYECCION"&amp;" " &amp;'Capacidad de Pago'!G9</f>
        <v>PROYECCION 2007</v>
      </c>
      <c r="H132" s="1226" t="str">
        <f>"PROYECCION"&amp;" " &amp;'Capacidad de Pago'!H9</f>
        <v>PROYECCION 2008</v>
      </c>
      <c r="I132" s="1226" t="str">
        <f>"PROYECCION"&amp;" " &amp;'Capacidad de Pago'!I9</f>
        <v>PROYECCION 2009</v>
      </c>
      <c r="J132" s="1226" t="str">
        <f>"PROYECCION"&amp;" " &amp;'Capacidad de Pago'!J9</f>
        <v>PROYECCION 2010</v>
      </c>
      <c r="K132" s="1226" t="str">
        <f>"PROYECCION"&amp;" " &amp;'Capacidad de Pago'!K9</f>
        <v>PROYECCION 2011</v>
      </c>
      <c r="L132" s="1226" t="str">
        <f>"PROYECCION"&amp;" " &amp;'Capacidad de Pago'!L9</f>
        <v>PROYECCION 2012</v>
      </c>
      <c r="M132" s="1226" t="str">
        <f>"PROYECCION"&amp;" " &amp;'Capacidad de Pago'!M9</f>
        <v>PROYECCION 2013</v>
      </c>
      <c r="N132" s="1226" t="str">
        <f>"PROYECCION"&amp;" " &amp;'Capacidad de Pago'!N9</f>
        <v>PROYECCION 2014</v>
      </c>
      <c r="O132" s="1226" t="str">
        <f>"PROYECCION"&amp;" " &amp;'Capacidad de Pago'!O9</f>
        <v>PROYECCION 2015</v>
      </c>
      <c r="P132" s="1226" t="str">
        <f>"PROYECCION"&amp;" " &amp;'Capacidad de Pago'!P9</f>
        <v>PROYECCION 2016</v>
      </c>
      <c r="Q132" s="1226" t="str">
        <f>"PROYECCION"&amp;" " &amp;'Capacidad de Pago'!Q9</f>
        <v>PROYECCION 2017</v>
      </c>
      <c r="R132" s="1226" t="str">
        <f>"PROYECCION"&amp;" " &amp;'Capacidad de Pago'!R9</f>
        <v>PROYECCION 2018</v>
      </c>
      <c r="S132" s="1226" t="str">
        <f>"PROYECCION"&amp;" " &amp;'Capacidad de Pago'!S9</f>
        <v>PROYECCION 2019</v>
      </c>
      <c r="T132" s="1226" t="str">
        <f>"PROYECCION"&amp;" " &amp;'Capacidad de Pago'!T9</f>
        <v>PROYECCION 2020</v>
      </c>
      <c r="U132" s="1226" t="str">
        <f>"PROYECCION"&amp;" " &amp;'Capacidad de Pago'!U9</f>
        <v>PROYECCION 2021</v>
      </c>
      <c r="V132" s="1226" t="str">
        <f>"PROYECCION"&amp;" " &amp;'Capacidad de Pago'!V9</f>
        <v>PROYECCION 2022</v>
      </c>
    </row>
    <row r="133" spans="1:22" s="453" customFormat="1" ht="12.75">
      <c r="A133" s="863"/>
      <c r="B133" s="1099" t="s">
        <v>137</v>
      </c>
      <c r="C133" s="1165">
        <f>+'Capacidad de Pago'!D60</f>
        <v>2725194.16</v>
      </c>
      <c r="D133" s="1076"/>
      <c r="E133" s="1076"/>
      <c r="F133" s="1076"/>
      <c r="G133" s="1165">
        <f>+'Capacidad de Pago'!G60</f>
        <v>5400742.3824000005</v>
      </c>
      <c r="H133" s="1165">
        <f>+'Capacidad de Pago'!H60</f>
        <v>5741239</v>
      </c>
      <c r="I133" s="1165">
        <f>+'Capacidad de Pago'!I60</f>
        <v>5672107.3600000003</v>
      </c>
      <c r="J133" s="1165">
        <f>+'Capacidad de Pago'!J60</f>
        <v>5898991.6543999994</v>
      </c>
      <c r="K133" s="1165">
        <f>+'Capacidad de Pago'!K60</f>
        <v>6134951.320576</v>
      </c>
      <c r="L133" s="1165">
        <f>+'Capacidad de Pago'!L60</f>
        <v>6428349.3726950409</v>
      </c>
      <c r="M133" s="1165">
        <f>+'Capacidad de Pago'!M60</f>
        <v>6685483.3476028424</v>
      </c>
      <c r="N133" s="1165">
        <f>+'Capacidad de Pago'!N60</f>
        <v>6952902.6815069569</v>
      </c>
      <c r="O133" s="1165">
        <f>+'Capacidad de Pago'!O60</f>
        <v>7231018.7887672344</v>
      </c>
      <c r="P133" s="1165">
        <f>+'Capacidad de Pago'!P60</f>
        <v>7520259.5403179247</v>
      </c>
      <c r="Q133" s="1165">
        <f>+'Capacidad de Pago'!Q60</f>
        <v>7821069.9219306409</v>
      </c>
      <c r="R133" s="1165">
        <f>+'Capacidad de Pago'!R60</f>
        <v>8133912.7188078668</v>
      </c>
      <c r="S133" s="1165">
        <f>+'Capacidad de Pago'!S60</f>
        <v>8459269.2275601812</v>
      </c>
      <c r="T133" s="1165">
        <f>+'Capacidad de Pago'!T60</f>
        <v>8797639.9966625907</v>
      </c>
      <c r="U133" s="1165">
        <f>+'Capacidad de Pago'!U60</f>
        <v>9149545.5965290926</v>
      </c>
      <c r="V133" s="1165">
        <f>+'Capacidad de Pago'!V60</f>
        <v>9515527.4203902576</v>
      </c>
    </row>
    <row r="134" spans="1:22" s="453" customFormat="1" ht="12.75">
      <c r="A134" s="863"/>
      <c r="B134" s="1099" t="s">
        <v>138</v>
      </c>
      <c r="C134" s="1165" t="e">
        <f>+'Capacidad de Pago'!D61</f>
        <v>#N/A</v>
      </c>
      <c r="D134" s="1076"/>
      <c r="E134" s="1076"/>
      <c r="F134" s="1076"/>
      <c r="G134" s="1165">
        <f>+'Capacidad de Pago'!G61</f>
        <v>512962</v>
      </c>
      <c r="H134" s="1165">
        <f>+'Capacidad de Pago'!H61</f>
        <v>749624</v>
      </c>
      <c r="I134" s="1165">
        <f>+'Capacidad de Pago'!I61</f>
        <v>617005.91999999993</v>
      </c>
      <c r="J134" s="1165">
        <f>+'Capacidad de Pago'!J61</f>
        <v>640647.1568</v>
      </c>
      <c r="K134" s="1165">
        <f>+'Capacidad de Pago'!K61</f>
        <v>666273.02752</v>
      </c>
      <c r="L134" s="1165">
        <f>+'Capacidad de Pago'!L61</f>
        <v>711524.18862079992</v>
      </c>
      <c r="M134" s="1165">
        <f>+'Capacidad de Pago'!M61</f>
        <v>739985.15616563195</v>
      </c>
      <c r="N134" s="1165">
        <f>+'Capacidad de Pago'!N61</f>
        <v>769583.56241225731</v>
      </c>
      <c r="O134" s="1165">
        <f>+'Capacidad de Pago'!O61</f>
        <v>800367.94490874768</v>
      </c>
      <c r="P134" s="1165">
        <f>+'Capacidad de Pago'!P61</f>
        <v>832382.66270509758</v>
      </c>
      <c r="Q134" s="1165">
        <f>+'Capacidad de Pago'!Q61</f>
        <v>865677.96921330155</v>
      </c>
      <c r="R134" s="1165">
        <f>+'Capacidad de Pago'!R61</f>
        <v>900305.08798183361</v>
      </c>
      <c r="S134" s="1165">
        <f>+'Capacidad de Pago'!S61</f>
        <v>936317.29150110716</v>
      </c>
      <c r="T134" s="1165">
        <f>+'Capacidad de Pago'!T61</f>
        <v>973769.98316115129</v>
      </c>
      <c r="U134" s="1165">
        <f>+'Capacidad de Pago'!U61</f>
        <v>1012720.7824875974</v>
      </c>
      <c r="V134" s="1165">
        <f>+'Capacidad de Pago'!V61</f>
        <v>1053228.6137871016</v>
      </c>
    </row>
    <row r="135" spans="1:22" s="453" customFormat="1" ht="12.75">
      <c r="A135" s="863"/>
      <c r="B135" s="1099" t="s">
        <v>139</v>
      </c>
      <c r="C135" s="1162" t="e">
        <f>+C133-C134</f>
        <v>#N/A</v>
      </c>
      <c r="D135" s="1076"/>
      <c r="E135" s="1076"/>
      <c r="F135" s="1076"/>
      <c r="G135" s="1162">
        <f>+G133-G134</f>
        <v>4887780.3824000005</v>
      </c>
      <c r="H135" s="1162">
        <f t="shared" ref="H135:O135" si="75">+H133-H134</f>
        <v>4991615</v>
      </c>
      <c r="I135" s="1162">
        <f t="shared" si="75"/>
        <v>5055101.4400000004</v>
      </c>
      <c r="J135" s="1162">
        <f t="shared" si="75"/>
        <v>5258344.4975999994</v>
      </c>
      <c r="K135" s="1162">
        <f t="shared" si="75"/>
        <v>5468678.293056</v>
      </c>
      <c r="L135" s="1162">
        <f t="shared" si="75"/>
        <v>5716825.1840742407</v>
      </c>
      <c r="M135" s="1162">
        <f t="shared" si="75"/>
        <v>5945498.1914372109</v>
      </c>
      <c r="N135" s="1162">
        <f t="shared" si="75"/>
        <v>6183319.1190946996</v>
      </c>
      <c r="O135" s="1162">
        <f t="shared" si="75"/>
        <v>6430650.843858487</v>
      </c>
      <c r="P135" s="1162">
        <f t="shared" ref="P135:V135" si="76">+P133-P134</f>
        <v>6687876.8776128273</v>
      </c>
      <c r="Q135" s="1162">
        <f t="shared" si="76"/>
        <v>6955391.9527173396</v>
      </c>
      <c r="R135" s="1162">
        <f t="shared" si="76"/>
        <v>7233607.6308260337</v>
      </c>
      <c r="S135" s="1162">
        <f t="shared" si="76"/>
        <v>7522951.9360590745</v>
      </c>
      <c r="T135" s="1162">
        <f t="shared" si="76"/>
        <v>7823870.0135014392</v>
      </c>
      <c r="U135" s="1162">
        <f t="shared" si="76"/>
        <v>8136824.8140414953</v>
      </c>
      <c r="V135" s="1162">
        <f t="shared" si="76"/>
        <v>8462298.806603156</v>
      </c>
    </row>
    <row r="136" spans="1:22" s="453" customFormat="1" ht="12.75">
      <c r="A136" s="863"/>
      <c r="B136" s="1099" t="s">
        <v>140</v>
      </c>
      <c r="C136" s="1165">
        <f>+'Capacidad de Pago'!D26</f>
        <v>147328</v>
      </c>
      <c r="D136" s="1076"/>
      <c r="E136" s="1076"/>
      <c r="F136" s="1076"/>
      <c r="G136" s="1165">
        <f>+'Capacidad de Pago'!G26</f>
        <v>50000</v>
      </c>
      <c r="H136" s="1165">
        <f>+'Capacidad de Pago'!H26</f>
        <v>291788</v>
      </c>
      <c r="I136" s="1165">
        <f>+'Capacidad de Pago'!I26</f>
        <v>310118</v>
      </c>
      <c r="J136" s="1165">
        <f>+'Capacidad de Pago'!J26</f>
        <v>187000</v>
      </c>
      <c r="K136" s="1165">
        <f>+'Capacidad de Pago'!K26</f>
        <v>298923</v>
      </c>
      <c r="L136" s="1165">
        <f>+'Capacidad de Pago'!L26</f>
        <v>20965</v>
      </c>
      <c r="M136" s="1165">
        <f>+'Capacidad de Pago'!M26</f>
        <v>150000</v>
      </c>
      <c r="N136" s="1165">
        <f>+'Capacidad de Pago'!N26</f>
        <v>50000</v>
      </c>
      <c r="O136" s="1165">
        <f>+'Capacidad de Pago'!O26</f>
        <v>0</v>
      </c>
      <c r="P136" s="1165">
        <f>+'Capacidad de Pago'!P26</f>
        <v>0</v>
      </c>
      <c r="Q136" s="1165">
        <f>+'Capacidad de Pago'!Q26</f>
        <v>0</v>
      </c>
      <c r="R136" s="1165">
        <f>+'Capacidad de Pago'!R26</f>
        <v>0</v>
      </c>
      <c r="S136" s="1165">
        <f>+'Capacidad de Pago'!S26</f>
        <v>0</v>
      </c>
      <c r="T136" s="1165">
        <f>+'Capacidad de Pago'!T26</f>
        <v>0</v>
      </c>
      <c r="U136" s="1165">
        <f>+'Capacidad de Pago'!U26</f>
        <v>0</v>
      </c>
      <c r="V136" s="1165">
        <f>+'Capacidad de Pago'!V26</f>
        <v>0</v>
      </c>
    </row>
    <row r="137" spans="1:22" s="453" customFormat="1" ht="12.75">
      <c r="A137" s="863"/>
      <c r="B137" s="1099" t="s">
        <v>141</v>
      </c>
      <c r="C137" s="1165">
        <f>+'Capacidad de Pago'!D27</f>
        <v>0</v>
      </c>
      <c r="D137" s="1076"/>
      <c r="E137" s="1076"/>
      <c r="F137" s="1076"/>
      <c r="G137" s="1165">
        <f>+'Capacidad de Pago'!G27</f>
        <v>360000</v>
      </c>
      <c r="H137" s="1165">
        <f>+'Capacidad de Pago'!H27</f>
        <v>0</v>
      </c>
      <c r="I137" s="1165">
        <f>+'Capacidad de Pago'!I27</f>
        <v>0</v>
      </c>
      <c r="J137" s="1165">
        <f>+'Capacidad de Pago'!J27</f>
        <v>270000</v>
      </c>
      <c r="K137" s="1165">
        <f>+'Capacidad de Pago'!K27</f>
        <v>0</v>
      </c>
      <c r="L137" s="1165">
        <f>+'Capacidad de Pago'!L27</f>
        <v>200000</v>
      </c>
      <c r="M137" s="1165">
        <f>+'Capacidad de Pago'!M27</f>
        <v>0</v>
      </c>
      <c r="N137" s="1165">
        <f>+'Capacidad de Pago'!N27</f>
        <v>0</v>
      </c>
      <c r="O137" s="1165">
        <f>+'Capacidad de Pago'!O27</f>
        <v>0</v>
      </c>
      <c r="P137" s="1165">
        <f>+'Capacidad de Pago'!P27</f>
        <v>0</v>
      </c>
      <c r="Q137" s="1165">
        <f>+'Capacidad de Pago'!Q27</f>
        <v>0</v>
      </c>
      <c r="R137" s="1165">
        <f>+'Capacidad de Pago'!R27</f>
        <v>0</v>
      </c>
      <c r="S137" s="1165">
        <f>+'Capacidad de Pago'!S27</f>
        <v>0</v>
      </c>
      <c r="T137" s="1165">
        <f>+'Capacidad de Pago'!T27</f>
        <v>0</v>
      </c>
      <c r="U137" s="1165">
        <f>+'Capacidad de Pago'!U27</f>
        <v>0</v>
      </c>
      <c r="V137" s="1165">
        <f>+'Capacidad de Pago'!V27</f>
        <v>0</v>
      </c>
    </row>
    <row r="138" spans="1:22" s="453" customFormat="1" ht="12.75">
      <c r="A138" s="863"/>
      <c r="B138" s="1099" t="s">
        <v>142</v>
      </c>
      <c r="C138" s="1165">
        <f>+C136+C137-C139-C140</f>
        <v>35000</v>
      </c>
      <c r="D138" s="1076"/>
      <c r="E138" s="1076"/>
      <c r="F138" s="1076"/>
      <c r="G138" s="1165">
        <f>+'Capacidad de Pago'!G41</f>
        <v>280000</v>
      </c>
      <c r="H138" s="1165">
        <f>+'Capacidad de Pago'!H41</f>
        <v>159788</v>
      </c>
      <c r="I138" s="1165">
        <f>+'Capacidad de Pago'!I41</f>
        <v>118118</v>
      </c>
      <c r="J138" s="1165">
        <f>+'Capacidad de Pago'!J41</f>
        <v>298923</v>
      </c>
      <c r="K138" s="1165">
        <f>+'Capacidad de Pago'!K41</f>
        <v>17923</v>
      </c>
      <c r="L138" s="1165">
        <f>+'Capacidad de Pago'!L41</f>
        <v>150000</v>
      </c>
      <c r="M138" s="1165">
        <f>+'Capacidad de Pago'!M41</f>
        <v>50000</v>
      </c>
      <c r="N138" s="1165">
        <f>+'Capacidad de Pago'!N41</f>
        <v>0</v>
      </c>
      <c r="O138" s="1165">
        <f>+'Capacidad de Pago'!O41</f>
        <v>0</v>
      </c>
      <c r="P138" s="1165">
        <f>+'Capacidad de Pago'!P41</f>
        <v>0</v>
      </c>
      <c r="Q138" s="1165">
        <f>+'Capacidad de Pago'!Q41</f>
        <v>0</v>
      </c>
      <c r="R138" s="1165">
        <f>+'Capacidad de Pago'!R41</f>
        <v>0</v>
      </c>
      <c r="S138" s="1165">
        <f>+'Capacidad de Pago'!S41</f>
        <v>0</v>
      </c>
      <c r="T138" s="1165">
        <f>+'Capacidad de Pago'!T41</f>
        <v>0</v>
      </c>
      <c r="U138" s="1165">
        <f>+'Capacidad de Pago'!U41</f>
        <v>0</v>
      </c>
      <c r="V138" s="1165">
        <f>+'Capacidad de Pago'!V41</f>
        <v>0</v>
      </c>
    </row>
    <row r="139" spans="1:22" s="453" customFormat="1" ht="12.75">
      <c r="A139" s="863"/>
      <c r="B139" s="1099" t="s">
        <v>143</v>
      </c>
      <c r="C139" s="1165">
        <f>+'Capacidad de Pago'!D31</f>
        <v>0</v>
      </c>
      <c r="D139" s="1076"/>
      <c r="E139" s="1076"/>
      <c r="F139" s="1076"/>
      <c r="G139" s="1165">
        <f>+'Capacidad de Pago'!G31</f>
        <v>0</v>
      </c>
      <c r="H139" s="1165">
        <f>+'Capacidad de Pago'!H31</f>
        <v>132000</v>
      </c>
      <c r="I139" s="1165">
        <f>+'Capacidad de Pago'!I31</f>
        <v>192000</v>
      </c>
      <c r="J139" s="1165">
        <f>+'Capacidad de Pago'!J31</f>
        <v>158077</v>
      </c>
      <c r="K139" s="1165">
        <f>+'Capacidad de Pago'!K31</f>
        <v>281000</v>
      </c>
      <c r="L139" s="1165">
        <f>+'Capacidad de Pago'!L31</f>
        <v>70965</v>
      </c>
      <c r="M139" s="1165">
        <f>+'Capacidad de Pago'!M31</f>
        <v>100000</v>
      </c>
      <c r="N139" s="1165">
        <f>+'Capacidad de Pago'!N31</f>
        <v>50000</v>
      </c>
      <c r="O139" s="1165">
        <f>+'Capacidad de Pago'!O31</f>
        <v>0</v>
      </c>
      <c r="P139" s="1165">
        <f>+'Capacidad de Pago'!P31</f>
        <v>0</v>
      </c>
      <c r="Q139" s="1165">
        <f>+'Capacidad de Pago'!Q31</f>
        <v>0</v>
      </c>
      <c r="R139" s="1165">
        <f>+'Capacidad de Pago'!R31</f>
        <v>0</v>
      </c>
      <c r="S139" s="1165">
        <f>+'Capacidad de Pago'!S31</f>
        <v>0</v>
      </c>
      <c r="T139" s="1165">
        <f>+'Capacidad de Pago'!T31</f>
        <v>0</v>
      </c>
      <c r="U139" s="1165">
        <f>+'Capacidad de Pago'!U31</f>
        <v>0</v>
      </c>
      <c r="V139" s="1165">
        <f>+'Capacidad de Pago'!V31</f>
        <v>0</v>
      </c>
    </row>
    <row r="140" spans="1:22" s="453" customFormat="1" ht="12.75">
      <c r="A140" s="863"/>
      <c r="B140" s="1099" t="s">
        <v>144</v>
      </c>
      <c r="C140" s="1165">
        <f>+'Capacidad de Pago'!D32</f>
        <v>112328</v>
      </c>
      <c r="D140" s="1076"/>
      <c r="E140" s="1076"/>
      <c r="F140" s="1076"/>
      <c r="G140" s="1165">
        <f>+'Capacidad de Pago'!G32</f>
        <v>130000</v>
      </c>
      <c r="H140" s="1165">
        <f>+'Capacidad de Pago'!H32</f>
        <v>0</v>
      </c>
      <c r="I140" s="1165">
        <f>+'Capacidad de Pago'!I32</f>
        <v>0</v>
      </c>
      <c r="J140" s="1165">
        <f>+'Capacidad de Pago'!J32</f>
        <v>0</v>
      </c>
      <c r="K140" s="1165">
        <f>+'Capacidad de Pago'!K32</f>
        <v>0</v>
      </c>
      <c r="L140" s="1165">
        <f>+'Capacidad de Pago'!L32</f>
        <v>0</v>
      </c>
      <c r="M140" s="1165">
        <f>+'Capacidad de Pago'!M32</f>
        <v>0</v>
      </c>
      <c r="N140" s="1165">
        <f>+'Capacidad de Pago'!N32</f>
        <v>0</v>
      </c>
      <c r="O140" s="1165">
        <f>+'Capacidad de Pago'!O32</f>
        <v>0</v>
      </c>
      <c r="P140" s="1165">
        <f>+'Capacidad de Pago'!P32</f>
        <v>0</v>
      </c>
      <c r="Q140" s="1165">
        <f>+'Capacidad de Pago'!Q32</f>
        <v>0</v>
      </c>
      <c r="R140" s="1165">
        <f>+'Capacidad de Pago'!R32</f>
        <v>0</v>
      </c>
      <c r="S140" s="1165">
        <f>+'Capacidad de Pago'!S32</f>
        <v>0</v>
      </c>
      <c r="T140" s="1165">
        <f>+'Capacidad de Pago'!T32</f>
        <v>0</v>
      </c>
      <c r="U140" s="1165">
        <f>+'Capacidad de Pago'!U32</f>
        <v>0</v>
      </c>
      <c r="V140" s="1165">
        <f>+'Capacidad de Pago'!V32</f>
        <v>0</v>
      </c>
    </row>
    <row r="141" spans="1:22" s="453" customFormat="1" ht="12.75">
      <c r="A141" s="863"/>
      <c r="B141" s="1099" t="s">
        <v>145</v>
      </c>
      <c r="C141" s="1165">
        <f>+'Capacidad de Pago'!D37</f>
        <v>0</v>
      </c>
      <c r="D141" s="1076"/>
      <c r="E141" s="1076"/>
      <c r="F141" s="1076"/>
      <c r="G141" s="1165">
        <f>+'Capacidad de Pago'!G37</f>
        <v>0</v>
      </c>
      <c r="H141" s="1165">
        <f>+'Capacidad de Pago'!H37</f>
        <v>0</v>
      </c>
      <c r="I141" s="1165">
        <f>+'Capacidad de Pago'!I37</f>
        <v>0</v>
      </c>
      <c r="J141" s="1165">
        <f>+'Capacidad de Pago'!J37</f>
        <v>0</v>
      </c>
      <c r="K141" s="1165">
        <f>+'Capacidad de Pago'!K37</f>
        <v>0</v>
      </c>
      <c r="L141" s="1165">
        <f>+'Capacidad de Pago'!L37</f>
        <v>0</v>
      </c>
      <c r="M141" s="1165">
        <f>+'Capacidad de Pago'!M37</f>
        <v>0</v>
      </c>
      <c r="N141" s="1165">
        <f>+'Capacidad de Pago'!N37</f>
        <v>0</v>
      </c>
      <c r="O141" s="1165">
        <f>+'Capacidad de Pago'!O37</f>
        <v>0</v>
      </c>
      <c r="P141" s="1165">
        <f>+'Capacidad de Pago'!P37</f>
        <v>0</v>
      </c>
      <c r="Q141" s="1165">
        <f>+'Capacidad de Pago'!Q37</f>
        <v>0</v>
      </c>
      <c r="R141" s="1165">
        <f>+'Capacidad de Pago'!R37</f>
        <v>0</v>
      </c>
      <c r="S141" s="1165">
        <f>+'Capacidad de Pago'!S37</f>
        <v>0</v>
      </c>
      <c r="T141" s="1165">
        <f>+'Capacidad de Pago'!T37</f>
        <v>0</v>
      </c>
      <c r="U141" s="1165">
        <f>+'Capacidad de Pago'!U37</f>
        <v>0</v>
      </c>
      <c r="V141" s="1165">
        <f>+'Capacidad de Pago'!V37</f>
        <v>0</v>
      </c>
    </row>
    <row r="142" spans="1:22" s="453" customFormat="1" ht="12.75">
      <c r="A142" s="863"/>
      <c r="B142" s="1099" t="s">
        <v>146</v>
      </c>
      <c r="C142" s="1165">
        <f>+'Capacidad de Pago'!D38</f>
        <v>0</v>
      </c>
      <c r="D142" s="1076"/>
      <c r="E142" s="1076"/>
      <c r="F142" s="1076"/>
      <c r="G142" s="1165">
        <f>+'Capacidad de Pago'!G38</f>
        <v>0</v>
      </c>
      <c r="H142" s="1165">
        <f>+'Capacidad de Pago'!H38</f>
        <v>0</v>
      </c>
      <c r="I142" s="1165">
        <f>+'Capacidad de Pago'!I38</f>
        <v>0</v>
      </c>
      <c r="J142" s="1165">
        <f>+'Capacidad de Pago'!J38</f>
        <v>0</v>
      </c>
      <c r="K142" s="1165">
        <f>+'Capacidad de Pago'!K38</f>
        <v>0</v>
      </c>
      <c r="L142" s="1165">
        <f>+'Capacidad de Pago'!L38</f>
        <v>0</v>
      </c>
      <c r="M142" s="1165">
        <f>+'Capacidad de Pago'!M38</f>
        <v>0</v>
      </c>
      <c r="N142" s="1165">
        <f>+'Capacidad de Pago'!N38</f>
        <v>0</v>
      </c>
      <c r="O142" s="1165">
        <f>+'Capacidad de Pago'!O38</f>
        <v>0</v>
      </c>
      <c r="P142" s="1165">
        <f>+'Capacidad de Pago'!P38</f>
        <v>0</v>
      </c>
      <c r="Q142" s="1165">
        <f>+'Capacidad de Pago'!Q38</f>
        <v>0</v>
      </c>
      <c r="R142" s="1165">
        <f>+'Capacidad de Pago'!R38</f>
        <v>0</v>
      </c>
      <c r="S142" s="1165">
        <f>+'Capacidad de Pago'!S38</f>
        <v>0</v>
      </c>
      <c r="T142" s="1165">
        <f>+'Capacidad de Pago'!T38</f>
        <v>0</v>
      </c>
      <c r="U142" s="1165">
        <f>+'Capacidad de Pago'!U38</f>
        <v>0</v>
      </c>
      <c r="V142" s="1165">
        <f>+'Capacidad de Pago'!V38</f>
        <v>0</v>
      </c>
    </row>
    <row r="143" spans="1:22" s="453" customFormat="1" ht="12.75">
      <c r="A143" s="863"/>
      <c r="B143" s="1099" t="s">
        <v>147</v>
      </c>
      <c r="C143" s="1165">
        <f>+'Capacidad de Pago'!D33</f>
        <v>44000</v>
      </c>
      <c r="D143" s="1076"/>
      <c r="E143" s="1076"/>
      <c r="F143" s="1076"/>
      <c r="G143" s="1165">
        <f>+'Capacidad de Pago'!G33</f>
        <v>81000</v>
      </c>
      <c r="H143" s="1165">
        <f>+'Capacidad de Pago'!H33</f>
        <v>69000</v>
      </c>
      <c r="I143" s="1165">
        <f>+'Capacidad de Pago'!I33</f>
        <v>65000</v>
      </c>
      <c r="J143" s="1165">
        <f>+'Capacidad de Pago'!J33</f>
        <v>24000</v>
      </c>
      <c r="K143" s="1165">
        <f>+'Capacidad de Pago'!K33</f>
        <v>33000</v>
      </c>
      <c r="L143" s="1165">
        <f>+'Capacidad de Pago'!L33</f>
        <v>4035</v>
      </c>
      <c r="M143" s="1165">
        <f>+'Capacidad de Pago'!M33</f>
        <v>4000</v>
      </c>
      <c r="N143" s="1165">
        <f>+'Capacidad de Pago'!N33</f>
        <v>3000</v>
      </c>
      <c r="O143" s="1165">
        <f>+'Capacidad de Pago'!O33</f>
        <v>0</v>
      </c>
      <c r="P143" s="1165">
        <f>+'Capacidad de Pago'!P33</f>
        <v>0</v>
      </c>
      <c r="Q143" s="1165">
        <f>+'Capacidad de Pago'!Q33</f>
        <v>0</v>
      </c>
      <c r="R143" s="1165">
        <f>+'Capacidad de Pago'!R33</f>
        <v>0</v>
      </c>
      <c r="S143" s="1165">
        <f>+'Capacidad de Pago'!S33</f>
        <v>0</v>
      </c>
      <c r="T143" s="1165">
        <f>+'Capacidad de Pago'!T33</f>
        <v>0</v>
      </c>
      <c r="U143" s="1165">
        <f>+'Capacidad de Pago'!U33</f>
        <v>0</v>
      </c>
      <c r="V143" s="1165">
        <f>+'Capacidad de Pago'!V33</f>
        <v>0</v>
      </c>
    </row>
    <row r="144" spans="1:22" s="453" customFormat="1" ht="12.75">
      <c r="A144" s="863"/>
      <c r="B144" s="1099" t="s">
        <v>148</v>
      </c>
      <c r="C144" s="1165">
        <f>+'Capacidad de Pago'!D39</f>
        <v>0</v>
      </c>
      <c r="D144" s="1076"/>
      <c r="E144" s="1076"/>
      <c r="F144" s="1076"/>
      <c r="G144" s="1165">
        <f>+'Capacidad de Pago'!G39</f>
        <v>0</v>
      </c>
      <c r="H144" s="1165">
        <f>+'Capacidad de Pago'!H39</f>
        <v>0</v>
      </c>
      <c r="I144" s="1165">
        <f>+'Capacidad de Pago'!I39</f>
        <v>0</v>
      </c>
      <c r="J144" s="1165">
        <f>+'Capacidad de Pago'!J39</f>
        <v>0</v>
      </c>
      <c r="K144" s="1165">
        <f>+'Capacidad de Pago'!K39</f>
        <v>0</v>
      </c>
      <c r="L144" s="1165">
        <f>+'Capacidad de Pago'!L39</f>
        <v>0</v>
      </c>
      <c r="M144" s="1165">
        <f>+'Capacidad de Pago'!M39</f>
        <v>0</v>
      </c>
      <c r="N144" s="1165">
        <f>+'Capacidad de Pago'!N39</f>
        <v>0</v>
      </c>
      <c r="O144" s="1165">
        <f>+'Capacidad de Pago'!O39</f>
        <v>0</v>
      </c>
      <c r="P144" s="1165">
        <f>+'Capacidad de Pago'!P39</f>
        <v>0</v>
      </c>
      <c r="Q144" s="1165">
        <f>+'Capacidad de Pago'!Q39</f>
        <v>0</v>
      </c>
      <c r="R144" s="1165">
        <f>+'Capacidad de Pago'!R39</f>
        <v>0</v>
      </c>
      <c r="S144" s="1165">
        <f>+'Capacidad de Pago'!S39</f>
        <v>0</v>
      </c>
      <c r="T144" s="1165">
        <f>+'Capacidad de Pago'!T39</f>
        <v>0</v>
      </c>
      <c r="U144" s="1165">
        <f>+'Capacidad de Pago'!U39</f>
        <v>0</v>
      </c>
      <c r="V144" s="1165">
        <f>+'Capacidad de Pago'!V39</f>
        <v>0</v>
      </c>
    </row>
    <row r="145" spans="1:22" s="453" customFormat="1" ht="12.75">
      <c r="A145" s="863"/>
      <c r="B145" s="1099" t="s">
        <v>149</v>
      </c>
      <c r="C145" s="1165">
        <f>+C138+C141-C142</f>
        <v>35000</v>
      </c>
      <c r="D145" s="1076"/>
      <c r="E145" s="1076"/>
      <c r="F145" s="1076"/>
      <c r="G145" s="1165">
        <f>+'Capacidad de Pago'!G41</f>
        <v>280000</v>
      </c>
      <c r="H145" s="1165">
        <f>+'Capacidad de Pago'!H41</f>
        <v>159788</v>
      </c>
      <c r="I145" s="1165">
        <f>+'Capacidad de Pago'!I41</f>
        <v>118118</v>
      </c>
      <c r="J145" s="1165">
        <f>+'Capacidad de Pago'!J41</f>
        <v>298923</v>
      </c>
      <c r="K145" s="1165">
        <f>+'Capacidad de Pago'!K41</f>
        <v>17923</v>
      </c>
      <c r="L145" s="1165">
        <f>+'Capacidad de Pago'!L41</f>
        <v>150000</v>
      </c>
      <c r="M145" s="1165">
        <f>+'Capacidad de Pago'!M41</f>
        <v>50000</v>
      </c>
      <c r="N145" s="1165">
        <f>+'Capacidad de Pago'!N41</f>
        <v>0</v>
      </c>
      <c r="O145" s="1165">
        <f>+'Capacidad de Pago'!O41</f>
        <v>0</v>
      </c>
      <c r="P145" s="1165">
        <f>+'Capacidad de Pago'!P41</f>
        <v>0</v>
      </c>
      <c r="Q145" s="1165">
        <f>+'Capacidad de Pago'!Q41</f>
        <v>0</v>
      </c>
      <c r="R145" s="1165">
        <f>+'Capacidad de Pago'!R41</f>
        <v>0</v>
      </c>
      <c r="S145" s="1165">
        <f>+'Capacidad de Pago'!S41</f>
        <v>0</v>
      </c>
      <c r="T145" s="1165">
        <f>+'Capacidad de Pago'!T41</f>
        <v>0</v>
      </c>
      <c r="U145" s="1165">
        <f>+'Capacidad de Pago'!U41</f>
        <v>0</v>
      </c>
      <c r="V145" s="1165">
        <f>+'Capacidad de Pago'!V41</f>
        <v>0</v>
      </c>
    </row>
    <row r="146" spans="1:22" s="453" customFormat="1" ht="13.5" thickBot="1">
      <c r="A146" s="863"/>
      <c r="B146" s="1230"/>
      <c r="C146" s="1231"/>
      <c r="D146" s="1232"/>
      <c r="E146" s="1233"/>
      <c r="F146" s="1233"/>
      <c r="G146" s="1232"/>
      <c r="H146" s="1232"/>
      <c r="I146" s="1232"/>
      <c r="J146" s="1232"/>
      <c r="K146" s="1232"/>
      <c r="L146" s="1232"/>
      <c r="M146" s="1232"/>
      <c r="N146" s="1232"/>
      <c r="O146" s="1232"/>
      <c r="P146" s="1232"/>
      <c r="Q146" s="1232"/>
      <c r="R146" s="1232"/>
      <c r="S146" s="1232"/>
      <c r="T146" s="1232"/>
      <c r="U146" s="1232"/>
      <c r="V146" s="1232"/>
    </row>
    <row r="147" spans="1:22" s="453" customFormat="1" ht="13.5" thickBot="1">
      <c r="A147" s="863"/>
      <c r="B147" s="877" t="s">
        <v>150</v>
      </c>
      <c r="C147" s="1237" t="e">
        <f>IF(AND(C135&lt;0,(C143+C144)=0),-100%,(C143+C144)/C135)</f>
        <v>#N/A</v>
      </c>
      <c r="D147" s="1239"/>
      <c r="E147" s="1239"/>
      <c r="F147" s="1239"/>
      <c r="G147" s="1237">
        <f t="shared" ref="G147:O147" si="77">IF(AND(G135&lt;0,(G143+G144)=0),-100%,(G143+G144)/G135)</f>
        <v>1.657193933910495E-2</v>
      </c>
      <c r="H147" s="1237">
        <f t="shared" si="77"/>
        <v>1.3823181475334135E-2</v>
      </c>
      <c r="I147" s="1237">
        <f t="shared" si="77"/>
        <v>1.2858297854454132E-2</v>
      </c>
      <c r="J147" s="1237">
        <f t="shared" si="77"/>
        <v>4.564174144724451E-3</v>
      </c>
      <c r="K147" s="1237">
        <f t="shared" si="77"/>
        <v>6.0343648376432434E-3</v>
      </c>
      <c r="L147" s="1237">
        <f t="shared" si="77"/>
        <v>7.0581133235289074E-4</v>
      </c>
      <c r="M147" s="1237">
        <f t="shared" si="77"/>
        <v>6.7277793570955178E-4</v>
      </c>
      <c r="N147" s="1237">
        <f t="shared" si="77"/>
        <v>4.8517631747902254E-4</v>
      </c>
      <c r="O147" s="1237">
        <f t="shared" si="77"/>
        <v>0</v>
      </c>
      <c r="P147" s="1237">
        <f t="shared" ref="P147:U147" si="78">IF(AND(P135&lt;0,(P143+P144)=0),-100%,(P143+P144)/P135)</f>
        <v>0</v>
      </c>
      <c r="Q147" s="1237">
        <f t="shared" si="78"/>
        <v>0</v>
      </c>
      <c r="R147" s="1237">
        <f t="shared" si="78"/>
        <v>0</v>
      </c>
      <c r="S147" s="1237">
        <f t="shared" si="78"/>
        <v>0</v>
      </c>
      <c r="T147" s="1237">
        <f t="shared" si="78"/>
        <v>0</v>
      </c>
      <c r="U147" s="1237">
        <f t="shared" si="78"/>
        <v>0</v>
      </c>
      <c r="V147" s="1237">
        <f>IF(AND(V135&lt;0,(V143+V144)=0),-100%,(V143+V144)/V135)</f>
        <v>0</v>
      </c>
    </row>
    <row r="148" spans="1:22" s="453" customFormat="1" ht="13.5" thickBot="1">
      <c r="A148" s="863"/>
      <c r="B148" s="877" t="s">
        <v>151</v>
      </c>
      <c r="C148" s="1238">
        <f>+C145/C133</f>
        <v>1.2843121607159174E-2</v>
      </c>
      <c r="D148" s="1239"/>
      <c r="E148" s="1239"/>
      <c r="F148" s="1239"/>
      <c r="G148" s="1238">
        <f t="shared" ref="G148:O148" si="79">+G145/G133</f>
        <v>5.1844724331319175E-2</v>
      </c>
      <c r="H148" s="1238">
        <f t="shared" si="79"/>
        <v>2.7831623104350819E-2</v>
      </c>
      <c r="I148" s="1238">
        <f t="shared" si="79"/>
        <v>2.0824359008606633E-2</v>
      </c>
      <c r="J148" s="1238">
        <f t="shared" si="79"/>
        <v>5.0673575674079194E-2</v>
      </c>
      <c r="K148" s="1238">
        <f>+K145/K133</f>
        <v>2.9214575737362557E-3</v>
      </c>
      <c r="L148" s="1238">
        <f t="shared" si="79"/>
        <v>2.3334139341762868E-2</v>
      </c>
      <c r="M148" s="1238">
        <f t="shared" si="79"/>
        <v>7.4788908146675853E-3</v>
      </c>
      <c r="N148" s="1238">
        <f t="shared" si="79"/>
        <v>0</v>
      </c>
      <c r="O148" s="1238">
        <f t="shared" si="79"/>
        <v>0</v>
      </c>
      <c r="P148" s="1238">
        <f t="shared" ref="P148:U148" si="80">+P145/P133</f>
        <v>0</v>
      </c>
      <c r="Q148" s="1238">
        <f t="shared" si="80"/>
        <v>0</v>
      </c>
      <c r="R148" s="1238">
        <f t="shared" si="80"/>
        <v>0</v>
      </c>
      <c r="S148" s="1238">
        <f t="shared" si="80"/>
        <v>0</v>
      </c>
      <c r="T148" s="1238">
        <f t="shared" si="80"/>
        <v>0</v>
      </c>
      <c r="U148" s="1238">
        <f t="shared" si="80"/>
        <v>0</v>
      </c>
      <c r="V148" s="1238">
        <f>+V145/V133</f>
        <v>0</v>
      </c>
    </row>
    <row r="149" spans="1:22" s="453" customFormat="1" ht="12.75">
      <c r="A149" s="863"/>
      <c r="B149" s="1234"/>
      <c r="C149" s="1235"/>
      <c r="D149" s="1236"/>
      <c r="E149" s="1236"/>
      <c r="F149" s="1236"/>
      <c r="G149" s="1236"/>
      <c r="H149" s="1236"/>
      <c r="I149" s="1236"/>
      <c r="J149" s="1236"/>
      <c r="K149" s="1236"/>
      <c r="L149" s="1236"/>
      <c r="M149" s="1236"/>
      <c r="N149" s="1236"/>
      <c r="O149" s="1236"/>
      <c r="P149" s="1236"/>
      <c r="Q149" s="1236"/>
      <c r="R149" s="1236"/>
      <c r="S149" s="1236"/>
      <c r="T149" s="1236"/>
      <c r="U149" s="1236"/>
      <c r="V149" s="1236"/>
    </row>
    <row r="150" spans="1:22" s="453" customFormat="1" ht="12.75">
      <c r="A150" s="863"/>
      <c r="B150" s="1099" t="s">
        <v>152</v>
      </c>
      <c r="C150" s="1227" t="e">
        <f>IF(AND(C147&gt;=0,C147&lt;=40%),"VERDE","ROJO")</f>
        <v>#N/A</v>
      </c>
      <c r="D150" s="1076"/>
      <c r="E150" s="1076"/>
      <c r="F150" s="1076"/>
      <c r="G150" s="1227" t="str">
        <f t="shared" ref="G150:O150" si="81">IF(AND(G147&gt;=0,G147&lt;=40%),"VERDE","ROJO")</f>
        <v>VERDE</v>
      </c>
      <c r="H150" s="1227" t="str">
        <f t="shared" si="81"/>
        <v>VERDE</v>
      </c>
      <c r="I150" s="1227" t="str">
        <f t="shared" si="81"/>
        <v>VERDE</v>
      </c>
      <c r="J150" s="1227" t="str">
        <f t="shared" si="81"/>
        <v>VERDE</v>
      </c>
      <c r="K150" s="1227" t="str">
        <f t="shared" si="81"/>
        <v>VERDE</v>
      </c>
      <c r="L150" s="1227" t="str">
        <f t="shared" si="81"/>
        <v>VERDE</v>
      </c>
      <c r="M150" s="1227" t="str">
        <f t="shared" si="81"/>
        <v>VERDE</v>
      </c>
      <c r="N150" s="1227" t="str">
        <f t="shared" si="81"/>
        <v>VERDE</v>
      </c>
      <c r="O150" s="1227" t="str">
        <f t="shared" si="81"/>
        <v>VERDE</v>
      </c>
      <c r="P150" s="1227" t="str">
        <f t="shared" ref="P150:U150" si="82">IF(AND(P147&gt;=0,P147&lt;=40%),"VERDE","ROJO")</f>
        <v>VERDE</v>
      </c>
      <c r="Q150" s="1227" t="str">
        <f t="shared" si="82"/>
        <v>VERDE</v>
      </c>
      <c r="R150" s="1227" t="str">
        <f t="shared" si="82"/>
        <v>VERDE</v>
      </c>
      <c r="S150" s="1227" t="str">
        <f t="shared" si="82"/>
        <v>VERDE</v>
      </c>
      <c r="T150" s="1227" t="str">
        <f t="shared" si="82"/>
        <v>VERDE</v>
      </c>
      <c r="U150" s="1227" t="str">
        <f t="shared" si="82"/>
        <v>VERDE</v>
      </c>
      <c r="V150" s="1227" t="str">
        <f>IF(AND(V147&gt;=0,V147&lt;=40%),"VERDE","ROJO")</f>
        <v>VERDE</v>
      </c>
    </row>
    <row r="151" spans="1:22" s="453" customFormat="1" ht="12.75">
      <c r="A151" s="863"/>
      <c r="B151" s="1099" t="s">
        <v>153</v>
      </c>
      <c r="C151" s="1227" t="str">
        <f>IF(C148&lt;=80%,"VERDE","ROJO")</f>
        <v>VERDE</v>
      </c>
      <c r="D151" s="1076"/>
      <c r="E151" s="1076"/>
      <c r="F151" s="1076"/>
      <c r="G151" s="1227" t="str">
        <f t="shared" ref="G151:O151" si="83">IF(G148&lt;=80%,"VERDE","ROJO")</f>
        <v>VERDE</v>
      </c>
      <c r="H151" s="1227" t="str">
        <f t="shared" si="83"/>
        <v>VERDE</v>
      </c>
      <c r="I151" s="1227" t="str">
        <f t="shared" si="83"/>
        <v>VERDE</v>
      </c>
      <c r="J151" s="1227" t="str">
        <f t="shared" si="83"/>
        <v>VERDE</v>
      </c>
      <c r="K151" s="1227" t="str">
        <f t="shared" si="83"/>
        <v>VERDE</v>
      </c>
      <c r="L151" s="1227" t="str">
        <f t="shared" si="83"/>
        <v>VERDE</v>
      </c>
      <c r="M151" s="1227" t="str">
        <f t="shared" si="83"/>
        <v>VERDE</v>
      </c>
      <c r="N151" s="1227" t="str">
        <f t="shared" si="83"/>
        <v>VERDE</v>
      </c>
      <c r="O151" s="1227" t="str">
        <f t="shared" si="83"/>
        <v>VERDE</v>
      </c>
      <c r="P151" s="1227" t="str">
        <f t="shared" ref="P151:U151" si="84">IF(P148&lt;=80%,"VERDE","ROJO")</f>
        <v>VERDE</v>
      </c>
      <c r="Q151" s="1227" t="str">
        <f t="shared" si="84"/>
        <v>VERDE</v>
      </c>
      <c r="R151" s="1227" t="str">
        <f t="shared" si="84"/>
        <v>VERDE</v>
      </c>
      <c r="S151" s="1227" t="str">
        <f t="shared" si="84"/>
        <v>VERDE</v>
      </c>
      <c r="T151" s="1227" t="str">
        <f t="shared" si="84"/>
        <v>VERDE</v>
      </c>
      <c r="U151" s="1227" t="str">
        <f t="shared" si="84"/>
        <v>VERDE</v>
      </c>
      <c r="V151" s="1227" t="str">
        <f>IF(V148&lt;=80%,"VERDE","ROJO")</f>
        <v>VERDE</v>
      </c>
    </row>
    <row r="152" spans="1:22" s="869" customFormat="1" ht="15">
      <c r="A152" s="868"/>
      <c r="B152" s="1229" t="s">
        <v>154</v>
      </c>
      <c r="C152" s="1031" t="e">
        <f>IF(C147&lt;0,"AHORRO NEGATIVO",IF(C148&gt;0.8,"ROJO",IF(C147&gt;0.4,"ROJO",IF(C147&lt;=0.4,"VERDE"))))</f>
        <v>#N/A</v>
      </c>
      <c r="D152" s="1228"/>
      <c r="E152" s="1228"/>
      <c r="F152" s="1228"/>
      <c r="G152" s="1031" t="str">
        <f t="shared" ref="G152:O152" si="85">IF(G147&lt;0,"AHORRO NEGATIVO",IF(G148&gt;0.8,"ROJO",IF(G147&gt;0.4,"ROJO",IF(G147&lt;=0.4,"VERDE"))))</f>
        <v>VERDE</v>
      </c>
      <c r="H152" s="1031" t="str">
        <f t="shared" si="85"/>
        <v>VERDE</v>
      </c>
      <c r="I152" s="1031" t="str">
        <f t="shared" si="85"/>
        <v>VERDE</v>
      </c>
      <c r="J152" s="1031" t="str">
        <f t="shared" si="85"/>
        <v>VERDE</v>
      </c>
      <c r="K152" s="1031" t="str">
        <f t="shared" si="85"/>
        <v>VERDE</v>
      </c>
      <c r="L152" s="1031" t="str">
        <f t="shared" si="85"/>
        <v>VERDE</v>
      </c>
      <c r="M152" s="1031" t="str">
        <f t="shared" si="85"/>
        <v>VERDE</v>
      </c>
      <c r="N152" s="1031" t="str">
        <f t="shared" si="85"/>
        <v>VERDE</v>
      </c>
      <c r="O152" s="1031" t="str">
        <f t="shared" si="85"/>
        <v>VERDE</v>
      </c>
      <c r="P152" s="1031" t="str">
        <f t="shared" ref="P152:U152" si="86">IF(P147&lt;0,"AHORRO NEGATIVO",IF(P148&gt;0.8,"ROJO",IF(P147&gt;0.4,"ROJO",IF(P147&lt;=0.4,"VERDE"))))</f>
        <v>VERDE</v>
      </c>
      <c r="Q152" s="1031" t="str">
        <f t="shared" si="86"/>
        <v>VERDE</v>
      </c>
      <c r="R152" s="1031" t="str">
        <f t="shared" si="86"/>
        <v>VERDE</v>
      </c>
      <c r="S152" s="1031" t="str">
        <f t="shared" si="86"/>
        <v>VERDE</v>
      </c>
      <c r="T152" s="1031" t="str">
        <f t="shared" si="86"/>
        <v>VERDE</v>
      </c>
      <c r="U152" s="1031" t="str">
        <f t="shared" si="86"/>
        <v>VERDE</v>
      </c>
      <c r="V152" s="1031" t="str">
        <f>IF(V147&lt;0,"AHORRO NEGATIVO",IF(V148&gt;0.8,"ROJO",IF(V147&gt;0.4,"ROJO",IF(V147&lt;=0.4,"VERDE"))))</f>
        <v>VERDE</v>
      </c>
    </row>
    <row r="153" spans="1:22" s="453" customFormat="1" ht="13.5" thickBot="1">
      <c r="A153" s="863"/>
      <c r="B153" s="875"/>
      <c r="C153" s="1"/>
      <c r="D153" s="454"/>
      <c r="F153" s="864"/>
      <c r="G153" s="454"/>
      <c r="H153" s="454"/>
      <c r="I153" s="454"/>
      <c r="J153" s="454"/>
      <c r="K153" s="454"/>
      <c r="L153" s="454"/>
      <c r="M153" s="454"/>
      <c r="N153" s="454"/>
      <c r="O153" s="454"/>
      <c r="P153" s="454"/>
      <c r="Q153" s="454"/>
      <c r="R153" s="454"/>
      <c r="S153" s="454"/>
      <c r="T153" s="454"/>
      <c r="U153" s="454"/>
      <c r="V153" s="454"/>
    </row>
    <row r="154" spans="1:22" s="453" customFormat="1" ht="13.5" thickBot="1">
      <c r="A154" s="863"/>
      <c r="B154" s="877" t="s">
        <v>155</v>
      </c>
      <c r="C154" s="866" t="e">
        <f>+#REF!/#REF!</f>
        <v>#REF!</v>
      </c>
      <c r="D154" s="454"/>
      <c r="F154" s="864"/>
      <c r="G154" s="866" t="e">
        <f t="shared" ref="G154:L154" si="87">+G77/G46</f>
        <v>#REF!</v>
      </c>
      <c r="H154" s="866">
        <f t="shared" si="87"/>
        <v>1.0000144927536232</v>
      </c>
      <c r="I154" s="866">
        <f t="shared" si="87"/>
        <v>1.0000265846154008</v>
      </c>
      <c r="J154" s="866">
        <f t="shared" si="87"/>
        <v>1.0000332133333043</v>
      </c>
      <c r="K154" s="866">
        <f t="shared" si="87"/>
        <v>1.0000343199030242</v>
      </c>
      <c r="L154" s="866">
        <f t="shared" si="87"/>
        <v>1.0004060319879888</v>
      </c>
      <c r="M154" s="866">
        <f>+H77/H46</f>
        <v>1.0000144927536232</v>
      </c>
      <c r="N154" s="866">
        <f>+I77/I46</f>
        <v>1.0000265846154008</v>
      </c>
      <c r="O154" s="866">
        <f>+J77/J46</f>
        <v>1.0000332133333043</v>
      </c>
      <c r="P154" s="866">
        <f>+K77/K46</f>
        <v>1.0000343199030242</v>
      </c>
      <c r="Q154" s="866">
        <f>+L77/L46</f>
        <v>1.0004060319879888</v>
      </c>
      <c r="R154" s="866">
        <v>1</v>
      </c>
      <c r="S154" s="866">
        <v>1</v>
      </c>
      <c r="T154" s="866">
        <v>1</v>
      </c>
      <c r="U154" s="866">
        <v>1</v>
      </c>
      <c r="V154" s="866">
        <v>1</v>
      </c>
    </row>
    <row r="155" spans="1:22" s="453" customFormat="1" ht="12.75">
      <c r="A155" s="863"/>
      <c r="B155" s="878"/>
      <c r="C155" s="13"/>
      <c r="D155" s="454"/>
      <c r="F155" s="864"/>
      <c r="G155" s="454"/>
      <c r="H155" s="454"/>
      <c r="I155" s="454"/>
      <c r="J155" s="454"/>
      <c r="K155" s="454"/>
      <c r="L155" s="454"/>
      <c r="M155" s="454"/>
      <c r="N155" s="454"/>
      <c r="O155" s="454"/>
    </row>
    <row r="156" spans="1:22" s="453" customFormat="1" ht="13.5" hidden="1" thickBot="1">
      <c r="A156" s="863"/>
      <c r="B156" s="879" t="s">
        <v>156</v>
      </c>
      <c r="C156" s="867" t="e">
        <f>+#REF!/(#REF!+#REF!+#REF!)</f>
        <v>#REF!</v>
      </c>
      <c r="D156" s="454"/>
      <c r="F156" s="864"/>
      <c r="G156" s="867" t="e">
        <f t="shared" ref="G156:L156" si="88">+G77/(G46+G68+G70)</f>
        <v>#REF!</v>
      </c>
      <c r="H156" s="867">
        <f t="shared" si="88"/>
        <v>0.34328855721393037</v>
      </c>
      <c r="I156" s="867">
        <f t="shared" si="88"/>
        <v>0.25292501167315584</v>
      </c>
      <c r="J156" s="867">
        <f t="shared" si="88"/>
        <v>0.28572377523808695</v>
      </c>
      <c r="K156" s="867">
        <f t="shared" si="88"/>
        <v>0.10509914827006306</v>
      </c>
      <c r="L156" s="867">
        <f t="shared" si="88"/>
        <v>5.3821844520953795E-2</v>
      </c>
      <c r="M156" s="867">
        <v>1</v>
      </c>
      <c r="N156" s="867">
        <v>1</v>
      </c>
      <c r="O156" s="867">
        <v>1</v>
      </c>
    </row>
    <row r="157" spans="1:22" s="453" customFormat="1" ht="12.75">
      <c r="A157" s="863"/>
      <c r="B157" s="876"/>
      <c r="C157" s="1"/>
      <c r="D157" s="454"/>
      <c r="F157" s="864"/>
      <c r="G157" s="454"/>
      <c r="H157" s="454"/>
      <c r="I157" s="454"/>
      <c r="J157" s="454"/>
      <c r="K157" s="454"/>
      <c r="L157" s="454"/>
      <c r="M157" s="454"/>
      <c r="N157" s="454"/>
      <c r="O157" s="454"/>
    </row>
    <row r="158" spans="1:22" s="453" customFormat="1">
      <c r="A158" s="863"/>
      <c r="B158" s="1103"/>
    </row>
    <row r="159" spans="1:22" s="453" customFormat="1">
      <c r="A159" s="863"/>
      <c r="B159" s="1104"/>
    </row>
    <row r="160" spans="1:22">
      <c r="A160" s="461"/>
    </row>
    <row r="161" spans="1:6">
      <c r="A161" s="461"/>
    </row>
    <row r="162" spans="1:6">
      <c r="A162" s="461"/>
      <c r="B162" s="1102"/>
    </row>
    <row r="163" spans="1:6">
      <c r="A163" s="461"/>
      <c r="B163" s="1102"/>
      <c r="E163" s="457"/>
      <c r="F163" s="457"/>
    </row>
    <row r="164" spans="1:6">
      <c r="A164" s="461"/>
      <c r="B164" s="1102"/>
    </row>
    <row r="165" spans="1:6">
      <c r="A165" s="461"/>
      <c r="B165" s="1102"/>
    </row>
    <row r="166" spans="1:6">
      <c r="A166" s="461"/>
      <c r="B166" s="1102"/>
    </row>
    <row r="167" spans="1:6">
      <c r="A167" s="461"/>
      <c r="B167" s="1102"/>
    </row>
    <row r="168" spans="1:6">
      <c r="A168" s="461"/>
      <c r="B168" s="1102"/>
    </row>
    <row r="169" spans="1:6">
      <c r="A169" s="461"/>
      <c r="B169" s="1102"/>
    </row>
    <row r="170" spans="1:6" ht="12.75">
      <c r="A170" s="461"/>
      <c r="B170" s="1241" t="s">
        <v>264</v>
      </c>
    </row>
    <row r="171" spans="1:6" ht="12.75">
      <c r="A171" s="461"/>
      <c r="B171" s="1241" t="s">
        <v>265</v>
      </c>
    </row>
    <row r="172" spans="1:6" ht="12.75">
      <c r="A172" s="461"/>
      <c r="B172" s="1263" t="s">
        <v>266</v>
      </c>
    </row>
    <row r="173" spans="1:6">
      <c r="A173" s="461"/>
    </row>
    <row r="174" spans="1:6">
      <c r="A174" s="461"/>
    </row>
    <row r="175" spans="1:6">
      <c r="A175" s="461"/>
    </row>
    <row r="176" spans="1:6">
      <c r="A176" s="461"/>
    </row>
    <row r="177" spans="1:6">
      <c r="A177" s="461"/>
    </row>
    <row r="178" spans="1:6">
      <c r="A178" s="461"/>
    </row>
    <row r="179" spans="1:6">
      <c r="A179" s="461"/>
    </row>
    <row r="180" spans="1:6">
      <c r="A180" s="461"/>
    </row>
    <row r="181" spans="1:6">
      <c r="A181" s="461"/>
    </row>
    <row r="182" spans="1:6">
      <c r="A182" s="461"/>
    </row>
    <row r="183" spans="1:6">
      <c r="A183" s="461"/>
      <c r="E183" s="457"/>
      <c r="F183" s="457"/>
    </row>
    <row r="184" spans="1:6">
      <c r="A184" s="461"/>
      <c r="E184" s="457"/>
      <c r="F184" s="457"/>
    </row>
    <row r="185" spans="1:6">
      <c r="A185" s="461"/>
    </row>
    <row r="186" spans="1:6">
      <c r="A186" s="461"/>
    </row>
    <row r="187" spans="1:6">
      <c r="A187" s="461"/>
    </row>
    <row r="188" spans="1:6">
      <c r="A188" s="461"/>
    </row>
    <row r="189" spans="1:6">
      <c r="A189" s="461"/>
    </row>
    <row r="190" spans="1:6">
      <c r="A190" s="461"/>
    </row>
    <row r="191" spans="1:6">
      <c r="A191" s="461"/>
    </row>
    <row r="192" spans="1:6">
      <c r="A192" s="461"/>
    </row>
    <row r="193" spans="1:6">
      <c r="A193" s="461"/>
    </row>
    <row r="194" spans="1:6">
      <c r="A194" s="461"/>
    </row>
    <row r="195" spans="1:6">
      <c r="A195" s="461"/>
    </row>
    <row r="196" spans="1:6">
      <c r="A196" s="461"/>
    </row>
    <row r="197" spans="1:6">
      <c r="A197" s="461"/>
    </row>
    <row r="198" spans="1:6">
      <c r="A198" s="461"/>
    </row>
    <row r="199" spans="1:6">
      <c r="A199" s="461"/>
    </row>
    <row r="200" spans="1:6">
      <c r="A200" s="461"/>
    </row>
    <row r="201" spans="1:6">
      <c r="A201" s="461"/>
    </row>
    <row r="202" spans="1:6">
      <c r="A202" s="461"/>
    </row>
    <row r="203" spans="1:6">
      <c r="A203" s="461"/>
    </row>
    <row r="204" spans="1:6">
      <c r="A204" s="461"/>
      <c r="E204" s="457"/>
      <c r="F204" s="457"/>
    </row>
    <row r="205" spans="1:6">
      <c r="A205" s="461"/>
    </row>
    <row r="206" spans="1:6" ht="12.75" customHeight="1">
      <c r="A206" s="461"/>
    </row>
    <row r="207" spans="1:6" s="944" customFormat="1">
      <c r="A207" s="943"/>
      <c r="B207" s="1105"/>
      <c r="E207" s="945"/>
      <c r="F207" s="945"/>
    </row>
    <row r="208" spans="1:6">
      <c r="A208" s="461"/>
      <c r="D208" s="454">
        <f>+'Cuadros para Informe Municipios'!E89</f>
        <v>20010</v>
      </c>
      <c r="E208" s="454">
        <f>+'Cuadros para Informe Municipios'!F89</f>
        <v>0.61</v>
      </c>
    </row>
    <row r="209" spans="1:6">
      <c r="A209" s="461"/>
      <c r="D209" s="454">
        <f>+'Cuadros para Informe Municipios'!E90</f>
        <v>20011</v>
      </c>
      <c r="E209" s="453">
        <f>+'Cuadros para Informe Municipios'!F90</f>
        <v>0.8</v>
      </c>
    </row>
    <row r="210" spans="1:6">
      <c r="A210" s="461"/>
      <c r="D210" s="454">
        <f>+'Cuadros para Informe Municipios'!E91</f>
        <v>20012</v>
      </c>
      <c r="E210" s="453">
        <f>+'Cuadros para Informe Municipios'!F91</f>
        <v>0.85</v>
      </c>
    </row>
    <row r="211" spans="1:6">
      <c r="A211" s="461"/>
      <c r="D211" s="454">
        <f>+'Cuadros para Informe Municipios'!E92</f>
        <v>20013</v>
      </c>
      <c r="E211" s="453">
        <f>+'Cuadros para Informe Municipios'!F92</f>
        <v>0.85</v>
      </c>
    </row>
    <row r="212" spans="1:6">
      <c r="A212" s="461"/>
      <c r="D212" s="454">
        <f>+'Cuadros para Informe Municipios'!E93</f>
        <v>20014</v>
      </c>
      <c r="E212" s="453">
        <f>+'Cuadros para Informe Municipios'!F93</f>
        <v>0.95</v>
      </c>
    </row>
    <row r="213" spans="1:6">
      <c r="A213" s="461"/>
      <c r="D213" s="454">
        <f>+'Cuadros para Informe Municipios'!E94</f>
        <v>20015</v>
      </c>
      <c r="E213" s="453">
        <f>+'Cuadros para Informe Municipios'!F94</f>
        <v>0.95</v>
      </c>
    </row>
    <row r="214" spans="1:6">
      <c r="A214" s="461"/>
      <c r="D214" s="454">
        <f>+'Cuadros para Informe Municipios'!E95</f>
        <v>20016</v>
      </c>
      <c r="E214" s="453">
        <f>+'Cuadros para Informe Municipios'!F95</f>
        <v>0.95</v>
      </c>
    </row>
    <row r="215" spans="1:6">
      <c r="A215" s="461"/>
      <c r="D215" s="454">
        <f>+'Cuadros para Informe Municipios'!E96</f>
        <v>20020</v>
      </c>
      <c r="E215" s="453">
        <f>+'Cuadros para Informe Municipios'!F96</f>
        <v>0.56999999999999995</v>
      </c>
    </row>
    <row r="216" spans="1:6">
      <c r="A216" s="461"/>
      <c r="D216" s="454">
        <f>+'Cuadros para Informe Municipios'!E97</f>
        <v>20021</v>
      </c>
      <c r="E216" s="453">
        <f>+'Cuadros para Informe Municipios'!F97</f>
        <v>0.75</v>
      </c>
    </row>
    <row r="217" spans="1:6">
      <c r="A217" s="461"/>
      <c r="D217" s="454">
        <f>+'Cuadros para Informe Municipios'!E98</f>
        <v>20022</v>
      </c>
      <c r="E217" s="453">
        <f>+'Cuadros para Informe Municipios'!F98</f>
        <v>0.8</v>
      </c>
    </row>
    <row r="218" spans="1:6">
      <c r="A218" s="461"/>
      <c r="D218" s="454">
        <f>+'Cuadros para Informe Municipios'!E99</f>
        <v>20023</v>
      </c>
      <c r="E218" s="453">
        <f>+'Cuadros para Informe Municipios'!F99</f>
        <v>0.8</v>
      </c>
    </row>
    <row r="219" spans="1:6">
      <c r="A219" s="461"/>
      <c r="D219" s="454">
        <f>+'Cuadros para Informe Municipios'!E100</f>
        <v>20024</v>
      </c>
      <c r="E219" s="453">
        <f>+'Cuadros para Informe Municipios'!F100</f>
        <v>0.9</v>
      </c>
    </row>
    <row r="220" spans="1:6">
      <c r="A220" s="461"/>
      <c r="D220" s="454">
        <f>+'Cuadros para Informe Municipios'!E101</f>
        <v>20025</v>
      </c>
      <c r="E220" s="453">
        <f>+'Cuadros para Informe Municipios'!F101</f>
        <v>0.9</v>
      </c>
    </row>
    <row r="221" spans="1:6">
      <c r="A221" s="461"/>
      <c r="D221" s="454">
        <f>+'Cuadros para Informe Municipios'!E102</f>
        <v>20026</v>
      </c>
      <c r="E221" s="453">
        <f>+'Cuadros para Informe Municipios'!F102</f>
        <v>0.9</v>
      </c>
    </row>
    <row r="222" spans="1:6">
      <c r="A222" s="461"/>
      <c r="D222" s="454">
        <f>+'Cuadros para Informe Municipios'!E103</f>
        <v>20030</v>
      </c>
      <c r="E222" s="453">
        <f>+'Cuadros para Informe Municipios'!F103</f>
        <v>0.54</v>
      </c>
    </row>
    <row r="223" spans="1:6">
      <c r="A223" s="461"/>
      <c r="D223" s="454">
        <f>+'Cuadros para Informe Municipios'!E104</f>
        <v>20031</v>
      </c>
      <c r="E223" s="453">
        <f>+'Cuadros para Informe Municipios'!F104</f>
        <v>0.7</v>
      </c>
    </row>
    <row r="224" spans="1:6">
      <c r="A224" s="461"/>
      <c r="D224" s="454">
        <f>+'Cuadros para Informe Municipios'!E105</f>
        <v>20032</v>
      </c>
      <c r="E224" s="457">
        <f>+'Cuadros para Informe Municipios'!F105</f>
        <v>0.75</v>
      </c>
      <c r="F224" s="457"/>
    </row>
    <row r="225" spans="1:6">
      <c r="A225" s="461"/>
      <c r="D225" s="454">
        <f>+'Cuadros para Informe Municipios'!E106</f>
        <v>20033</v>
      </c>
      <c r="E225" s="453">
        <f>+'Cuadros para Informe Municipios'!F106</f>
        <v>0.75</v>
      </c>
    </row>
    <row r="226" spans="1:6">
      <c r="A226" s="461"/>
      <c r="D226" s="454">
        <f>+'Cuadros para Informe Municipios'!E107</f>
        <v>20034</v>
      </c>
      <c r="E226" s="453">
        <f>+'Cuadros para Informe Municipios'!F107</f>
        <v>0.85</v>
      </c>
    </row>
    <row r="227" spans="1:6">
      <c r="A227" s="461"/>
      <c r="D227" s="454">
        <f>+'Cuadros para Informe Municipios'!E108</f>
        <v>20035</v>
      </c>
      <c r="E227" s="453">
        <f>+'Cuadros para Informe Municipios'!F108</f>
        <v>0.85</v>
      </c>
    </row>
    <row r="228" spans="1:6">
      <c r="A228" s="461"/>
      <c r="D228" s="454">
        <f>+'Cuadros para Informe Municipios'!E109</f>
        <v>20036</v>
      </c>
      <c r="E228" s="453">
        <f>+'Cuadros para Informe Municipios'!F109</f>
        <v>0.85</v>
      </c>
    </row>
    <row r="229" spans="1:6">
      <c r="A229" s="461"/>
      <c r="D229" s="454">
        <f>+'Cuadros para Informe Municipios'!E110</f>
        <v>20040</v>
      </c>
      <c r="E229" s="453">
        <f>+'Cuadros para Informe Municipios'!F110</f>
        <v>0.5</v>
      </c>
    </row>
    <row r="230" spans="1:6">
      <c r="A230" s="461"/>
      <c r="D230" s="454">
        <f>+'Cuadros para Informe Municipios'!E111</f>
        <v>20041</v>
      </c>
      <c r="E230" s="453">
        <f>+'Cuadros para Informe Municipios'!F111</f>
        <v>0.65</v>
      </c>
    </row>
    <row r="231" spans="1:6">
      <c r="A231" s="461"/>
      <c r="D231" s="454">
        <f>+'Cuadros para Informe Municipios'!E112</f>
        <v>20042</v>
      </c>
      <c r="E231" s="453">
        <f>+'Cuadros para Informe Municipios'!F112</f>
        <v>0.7</v>
      </c>
    </row>
    <row r="232" spans="1:6">
      <c r="A232" s="461"/>
      <c r="D232" s="454">
        <f>+'Cuadros para Informe Municipios'!E113</f>
        <v>20043</v>
      </c>
      <c r="E232" s="453">
        <f>+'Cuadros para Informe Municipios'!F113</f>
        <v>0.7</v>
      </c>
    </row>
    <row r="233" spans="1:6">
      <c r="A233" s="461"/>
      <c r="D233" s="454">
        <f>+'Cuadros para Informe Municipios'!E114</f>
        <v>20044</v>
      </c>
      <c r="E233" s="453">
        <f>+'Cuadros para Informe Municipios'!F114</f>
        <v>0.8</v>
      </c>
    </row>
    <row r="234" spans="1:6">
      <c r="A234" s="461"/>
      <c r="D234" s="454">
        <f>+'Cuadros para Informe Municipios'!E115</f>
        <v>20045</v>
      </c>
      <c r="E234" s="453">
        <f>+'Cuadros para Informe Municipios'!F115</f>
        <v>0.8</v>
      </c>
    </row>
    <row r="235" spans="1:6">
      <c r="A235" s="461"/>
      <c r="D235" s="454">
        <f>+'Cuadros para Informe Municipios'!E116</f>
        <v>20046</v>
      </c>
      <c r="E235" s="453">
        <f>+'Cuadros para Informe Municipios'!F116</f>
        <v>0.8</v>
      </c>
    </row>
    <row r="236" spans="1:6" s="944" customFormat="1">
      <c r="A236" s="943"/>
      <c r="B236" s="1105"/>
      <c r="E236" s="945"/>
      <c r="F236" s="945"/>
    </row>
    <row r="237" spans="1:6">
      <c r="A237" s="461"/>
    </row>
    <row r="238" spans="1:6">
      <c r="A238" s="461"/>
    </row>
    <row r="239" spans="1:6">
      <c r="A239" s="461"/>
    </row>
    <row r="240" spans="1:6">
      <c r="A240" s="461"/>
    </row>
    <row r="241" spans="1:6">
      <c r="A241" s="461"/>
    </row>
    <row r="242" spans="1:6">
      <c r="A242" s="461"/>
    </row>
    <row r="243" spans="1:6">
      <c r="A243" s="461"/>
    </row>
    <row r="244" spans="1:6">
      <c r="A244" s="461"/>
      <c r="E244" s="457"/>
      <c r="F244" s="457"/>
    </row>
    <row r="245" spans="1:6">
      <c r="A245" s="461"/>
      <c r="E245" s="457"/>
      <c r="F245" s="457"/>
    </row>
    <row r="246" spans="1:6">
      <c r="A246" s="461"/>
    </row>
    <row r="247" spans="1:6">
      <c r="A247" s="461"/>
    </row>
    <row r="248" spans="1:6">
      <c r="A248" s="461"/>
    </row>
    <row r="249" spans="1:6">
      <c r="A249" s="461"/>
    </row>
    <row r="250" spans="1:6">
      <c r="A250" s="461"/>
    </row>
    <row r="251" spans="1:6">
      <c r="A251" s="461"/>
    </row>
    <row r="252" spans="1:6">
      <c r="A252" s="461"/>
    </row>
    <row r="253" spans="1:6">
      <c r="A253" s="461"/>
    </row>
    <row r="254" spans="1:6">
      <c r="A254" s="461"/>
    </row>
    <row r="255" spans="1:6">
      <c r="A255" s="461"/>
    </row>
    <row r="256" spans="1:6">
      <c r="A256" s="461"/>
    </row>
    <row r="257" spans="1:6">
      <c r="A257" s="461"/>
    </row>
    <row r="258" spans="1:6">
      <c r="A258" s="461"/>
    </row>
    <row r="259" spans="1:6">
      <c r="A259" s="461"/>
    </row>
    <row r="260" spans="1:6">
      <c r="A260" s="461"/>
    </row>
    <row r="261" spans="1:6">
      <c r="A261" s="461"/>
    </row>
    <row r="262" spans="1:6">
      <c r="A262" s="461"/>
    </row>
    <row r="263" spans="1:6">
      <c r="A263" s="461"/>
    </row>
    <row r="264" spans="1:6">
      <c r="A264" s="461"/>
    </row>
    <row r="265" spans="1:6">
      <c r="A265" s="461"/>
      <c r="E265" s="457"/>
      <c r="F265" s="457"/>
    </row>
    <row r="266" spans="1:6">
      <c r="A266" s="461"/>
    </row>
    <row r="267" spans="1:6">
      <c r="A267" s="461"/>
    </row>
    <row r="268" spans="1:6">
      <c r="A268" s="461"/>
    </row>
    <row r="269" spans="1:6">
      <c r="A269" s="461"/>
    </row>
    <row r="270" spans="1:6">
      <c r="A270" s="461"/>
    </row>
    <row r="271" spans="1:6">
      <c r="A271" s="461"/>
    </row>
    <row r="272" spans="1:6">
      <c r="A272" s="461"/>
    </row>
    <row r="273" spans="1:6">
      <c r="A273" s="461"/>
    </row>
    <row r="274" spans="1:6">
      <c r="A274" s="461"/>
    </row>
    <row r="275" spans="1:6">
      <c r="A275" s="461"/>
    </row>
    <row r="276" spans="1:6">
      <c r="A276" s="461"/>
    </row>
    <row r="277" spans="1:6">
      <c r="A277" s="461"/>
    </row>
    <row r="278" spans="1:6">
      <c r="A278" s="461"/>
    </row>
    <row r="279" spans="1:6">
      <c r="A279" s="461"/>
    </row>
    <row r="280" spans="1:6">
      <c r="A280" s="461"/>
    </row>
    <row r="281" spans="1:6">
      <c r="A281" s="461"/>
    </row>
    <row r="282" spans="1:6">
      <c r="A282" s="461"/>
    </row>
    <row r="283" spans="1:6">
      <c r="A283" s="461"/>
    </row>
    <row r="284" spans="1:6">
      <c r="A284" s="461"/>
    </row>
    <row r="285" spans="1:6">
      <c r="A285" s="461"/>
      <c r="E285" s="457"/>
      <c r="F285" s="457"/>
    </row>
    <row r="286" spans="1:6">
      <c r="A286" s="461"/>
    </row>
    <row r="287" spans="1:6">
      <c r="A287" s="461"/>
    </row>
    <row r="288" spans="1:6">
      <c r="A288" s="461"/>
    </row>
    <row r="289" spans="1:1">
      <c r="A289" s="461"/>
    </row>
    <row r="290" spans="1:1">
      <c r="A290" s="461"/>
    </row>
    <row r="291" spans="1:1">
      <c r="A291" s="461"/>
    </row>
    <row r="292" spans="1:1">
      <c r="A292" s="461"/>
    </row>
    <row r="293" spans="1:1">
      <c r="A293" s="461"/>
    </row>
    <row r="294" spans="1:1">
      <c r="A294" s="461"/>
    </row>
    <row r="295" spans="1:1">
      <c r="A295" s="461"/>
    </row>
    <row r="296" spans="1:1">
      <c r="A296" s="461"/>
    </row>
    <row r="297" spans="1:1">
      <c r="A297" s="461"/>
    </row>
    <row r="298" spans="1:1">
      <c r="A298" s="461"/>
    </row>
    <row r="299" spans="1:1">
      <c r="A299" s="461"/>
    </row>
    <row r="300" spans="1:1">
      <c r="A300" s="461"/>
    </row>
    <row r="301" spans="1:1">
      <c r="A301" s="461"/>
    </row>
    <row r="302" spans="1:1">
      <c r="A302" s="461"/>
    </row>
    <row r="303" spans="1:1">
      <c r="A303" s="461"/>
    </row>
    <row r="304" spans="1:1">
      <c r="A304" s="461"/>
    </row>
    <row r="305" spans="1:6">
      <c r="A305" s="461"/>
    </row>
    <row r="306" spans="1:6">
      <c r="A306" s="461"/>
      <c r="E306" s="457"/>
      <c r="F306" s="457"/>
    </row>
    <row r="307" spans="1:6">
      <c r="A307" s="461"/>
      <c r="E307" s="457"/>
      <c r="F307" s="457"/>
    </row>
    <row r="308" spans="1:6">
      <c r="A308" s="461"/>
    </row>
    <row r="309" spans="1:6">
      <c r="A309" s="461"/>
    </row>
    <row r="310" spans="1:6">
      <c r="A310" s="461"/>
    </row>
    <row r="311" spans="1:6">
      <c r="A311" s="461"/>
    </row>
    <row r="312" spans="1:6">
      <c r="A312" s="461"/>
      <c r="E312" s="457"/>
      <c r="F312" s="457"/>
    </row>
    <row r="313" spans="1:6">
      <c r="A313" s="461"/>
    </row>
    <row r="314" spans="1:6">
      <c r="A314" s="461"/>
    </row>
    <row r="315" spans="1:6">
      <c r="A315" s="461"/>
    </row>
  </sheetData>
  <mergeCells count="12">
    <mergeCell ref="B119:V119"/>
    <mergeCell ref="B120:V120"/>
    <mergeCell ref="B115:V115"/>
    <mergeCell ref="B116:V116"/>
    <mergeCell ref="B117:V117"/>
    <mergeCell ref="B118:V118"/>
    <mergeCell ref="B2:V2"/>
    <mergeCell ref="B3:V3"/>
    <mergeCell ref="B4:V4"/>
    <mergeCell ref="B5:V5"/>
    <mergeCell ref="B6:V6"/>
    <mergeCell ref="B7:V7"/>
  </mergeCells>
  <phoneticPr fontId="33" type="noConversion"/>
  <printOptions horizontalCentered="1"/>
  <pageMargins left="0.19685039370078741" right="0.19685039370078741" top="0.39370078740157483" bottom="0.39370078740157483" header="0.19685039370078741" footer="0.19685039370078741"/>
  <pageSetup scale="70" fitToHeight="2" orientation="landscape" horizontalDpi="300" verticalDpi="300" r:id="rId1"/>
  <headerFooter alignWithMargins="0">
    <oddFooter>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sheetPr codeName="Hoja9" enableFormatConditionsCalculation="0">
    <tabColor indexed="11"/>
    <pageSetUpPr fitToPage="1"/>
  </sheetPr>
  <dimension ref="A2:AO200"/>
  <sheetViews>
    <sheetView topLeftCell="B14" zoomScale="80" workbookViewId="0">
      <selection activeCell="Q35" sqref="Q35"/>
    </sheetView>
  </sheetViews>
  <sheetFormatPr baseColWidth="10" defaultRowHeight="12.75"/>
  <cols>
    <col min="1" max="1" width="13.5703125" style="893" hidden="1" customWidth="1"/>
    <col min="2" max="2" width="39.140625" style="1157" customWidth="1"/>
    <col min="3" max="6" width="14.85546875" style="893" hidden="1" customWidth="1"/>
    <col min="7" max="7" width="9.85546875" style="893" hidden="1" customWidth="1"/>
    <col min="8" max="8" width="16.42578125" style="893" hidden="1" customWidth="1"/>
    <col min="9" max="10" width="14.85546875" style="893" hidden="1" customWidth="1"/>
    <col min="11" max="11" width="13.42578125" style="893" hidden="1" customWidth="1"/>
    <col min="12" max="12" width="16.5703125" style="893" hidden="1" customWidth="1"/>
    <col min="13" max="20" width="14.85546875" style="893" customWidth="1"/>
    <col min="21" max="21" width="19" style="893" customWidth="1"/>
    <col min="22" max="23" width="11.42578125" style="893"/>
    <col min="24" max="27" width="11.42578125" style="965"/>
    <col min="28" max="36" width="11.42578125" style="893"/>
    <col min="37" max="37" width="31.85546875" style="893" bestFit="1" customWidth="1"/>
    <col min="38" max="38" width="3.140625" style="964" customWidth="1"/>
    <col min="39" max="16384" width="11.42578125" style="893"/>
  </cols>
  <sheetData>
    <row r="2" spans="1:41">
      <c r="B2" s="1321" t="s">
        <v>898</v>
      </c>
      <c r="C2" s="1321"/>
      <c r="D2" s="1321"/>
      <c r="E2" s="1321"/>
      <c r="F2" s="1321"/>
      <c r="G2" s="1321"/>
      <c r="H2" s="1321"/>
      <c r="I2" s="1321"/>
      <c r="J2" s="1321"/>
      <c r="K2" s="1321"/>
      <c r="L2" s="1321"/>
      <c r="M2" s="1321"/>
      <c r="N2" s="1321"/>
      <c r="O2" s="1321"/>
      <c r="P2" s="1321"/>
      <c r="Q2" s="1321"/>
      <c r="R2" s="1321"/>
      <c r="S2" s="1321"/>
      <c r="T2" s="1321"/>
      <c r="U2" s="1321"/>
      <c r="V2" s="1321"/>
      <c r="W2" s="1321"/>
    </row>
    <row r="3" spans="1:41">
      <c r="B3" s="1321" t="s">
        <v>529</v>
      </c>
      <c r="C3" s="1321"/>
      <c r="D3" s="1321"/>
      <c r="E3" s="1321"/>
      <c r="F3" s="1321"/>
      <c r="G3" s="1321"/>
      <c r="H3" s="1321"/>
      <c r="I3" s="1321"/>
      <c r="J3" s="1321"/>
      <c r="K3" s="1321"/>
      <c r="L3" s="1321"/>
      <c r="M3" s="1321"/>
      <c r="N3" s="1321"/>
      <c r="O3" s="1321"/>
      <c r="P3" s="1321"/>
      <c r="Q3" s="1321"/>
      <c r="R3" s="1321"/>
      <c r="S3" s="1321"/>
      <c r="T3" s="1321"/>
      <c r="U3" s="1321"/>
      <c r="V3" s="1321"/>
      <c r="W3" s="1321"/>
    </row>
    <row r="4" spans="1:41">
      <c r="B4" s="1321" t="s">
        <v>527</v>
      </c>
      <c r="C4" s="1321"/>
      <c r="D4" s="1321"/>
      <c r="E4" s="1321"/>
      <c r="F4" s="1321"/>
      <c r="G4" s="1321"/>
      <c r="H4" s="1321"/>
      <c r="I4" s="1321"/>
      <c r="J4" s="1321"/>
      <c r="K4" s="1321"/>
      <c r="L4" s="1321"/>
      <c r="M4" s="1321"/>
      <c r="N4" s="1321"/>
      <c r="O4" s="1321"/>
      <c r="P4" s="1321"/>
      <c r="Q4" s="1321"/>
      <c r="R4" s="1321"/>
      <c r="S4" s="1321"/>
      <c r="T4" s="1321"/>
      <c r="U4" s="1321"/>
      <c r="V4" s="1321"/>
      <c r="W4" s="1321"/>
    </row>
    <row r="5" spans="1:41">
      <c r="B5" s="1321" t="s">
        <v>1347</v>
      </c>
      <c r="C5" s="1321"/>
      <c r="D5" s="1321"/>
      <c r="E5" s="1321"/>
      <c r="F5" s="1321"/>
      <c r="G5" s="1321"/>
      <c r="H5" s="1321"/>
      <c r="I5" s="1321"/>
      <c r="J5" s="1321"/>
      <c r="K5" s="1321"/>
      <c r="L5" s="1321"/>
      <c r="M5" s="1321"/>
      <c r="N5" s="1321"/>
      <c r="O5" s="1321"/>
      <c r="P5" s="1321"/>
      <c r="Q5" s="1321"/>
      <c r="R5" s="1321"/>
      <c r="S5" s="1321"/>
      <c r="T5" s="1321"/>
      <c r="U5" s="1321"/>
      <c r="V5" s="1321"/>
      <c r="W5" s="1321"/>
    </row>
    <row r="6" spans="1:41">
      <c r="B6" s="1320" t="s">
        <v>490</v>
      </c>
      <c r="C6" s="1320"/>
      <c r="D6" s="1320"/>
      <c r="E6" s="1320"/>
      <c r="F6" s="1320"/>
      <c r="G6" s="1320"/>
      <c r="H6" s="1320"/>
      <c r="I6" s="1320"/>
      <c r="J6" s="1320"/>
      <c r="K6" s="1320"/>
      <c r="L6" s="1320"/>
      <c r="M6" s="1320"/>
      <c r="N6" s="1320"/>
      <c r="O6" s="1320"/>
      <c r="P6" s="1320"/>
      <c r="Q6" s="1320"/>
      <c r="R6" s="1320"/>
      <c r="S6" s="1320"/>
      <c r="T6" s="1320"/>
      <c r="U6" s="1320"/>
      <c r="V6" s="1320"/>
      <c r="W6" s="1320"/>
    </row>
    <row r="7" spans="1:41">
      <c r="B7" s="1321" t="s">
        <v>528</v>
      </c>
      <c r="C7" s="1321"/>
      <c r="D7" s="1321"/>
      <c r="E7" s="1321"/>
      <c r="F7" s="1321"/>
      <c r="G7" s="1321"/>
      <c r="H7" s="1321"/>
      <c r="I7" s="1321"/>
      <c r="J7" s="1321"/>
      <c r="K7" s="1321"/>
      <c r="L7" s="1321"/>
      <c r="M7" s="1321"/>
      <c r="N7" s="1321"/>
      <c r="O7" s="1321"/>
      <c r="P7" s="1321"/>
      <c r="Q7" s="1321"/>
      <c r="R7" s="1321"/>
      <c r="S7" s="1321"/>
      <c r="T7" s="1321"/>
      <c r="U7" s="1321"/>
      <c r="V7" s="1321"/>
      <c r="W7" s="1321"/>
    </row>
    <row r="8" spans="1:41" ht="13.5" thickBot="1">
      <c r="A8" s="9"/>
      <c r="B8" s="1143"/>
      <c r="C8" s="37"/>
      <c r="D8" s="37"/>
      <c r="E8" s="37"/>
      <c r="F8" s="37"/>
      <c r="G8" s="38"/>
      <c r="H8" s="39"/>
      <c r="I8" s="37"/>
      <c r="J8" s="37"/>
      <c r="K8" s="37"/>
      <c r="L8" s="37"/>
      <c r="M8" s="37"/>
      <c r="N8" s="37"/>
      <c r="O8" s="37"/>
      <c r="P8" s="37"/>
      <c r="Q8" s="37"/>
      <c r="R8" s="37"/>
      <c r="S8" s="37"/>
      <c r="T8" s="37"/>
      <c r="U8" s="37"/>
    </row>
    <row r="9" spans="1:41" ht="41.25" customHeight="1" thickBot="1">
      <c r="A9" s="459" t="s">
        <v>796</v>
      </c>
      <c r="B9" s="284" t="s">
        <v>797</v>
      </c>
      <c r="C9" s="353" t="str">
        <f>"Escenario Financiero Año "&amp;YEAR(Ingresos!$I$21)</f>
        <v>Escenario Financiero Año 2002</v>
      </c>
      <c r="D9" s="353" t="str">
        <f>"Escenario Financiero Año "&amp;YEAR(Ingresos!$I$21)+1</f>
        <v>Escenario Financiero Año 2003</v>
      </c>
      <c r="E9" s="353" t="str">
        <f>"Escenario Financiero Año "&amp;YEAR(Ingresos!$I$21)+2</f>
        <v>Escenario Financiero Año 2004</v>
      </c>
      <c r="F9" s="353" t="str">
        <f>"Escenario Financiero Año "&amp;YEAR(Ingresos!$I$21)+3</f>
        <v>Escenario Financiero Año 2005</v>
      </c>
      <c r="G9" s="353" t="str">
        <f>"Escenario Financiero Año "&amp;YEAR(Ingresos!$I$21)+4</f>
        <v>Escenario Financiero Año 2006</v>
      </c>
      <c r="H9" s="353" t="str">
        <f>"Escenario Financiero Año "&amp;YEAR(Ingresos!$I$21)+5</f>
        <v>Escenario Financiero Año 2007</v>
      </c>
      <c r="I9" s="353" t="str">
        <f>"Escenario Financiero Año "&amp;YEAR(Ingresos!$I$21)+6</f>
        <v>Escenario Financiero Año 2008</v>
      </c>
      <c r="J9" s="353" t="str">
        <f>"Escenario Financiero Año "&amp;YEAR(Ingresos!$I$21)+7</f>
        <v>Escenario Financiero Año 2009</v>
      </c>
      <c r="K9" s="353" t="str">
        <f>"Escenario Financiero Año "&amp;YEAR(Ingresos!$I$21)+8</f>
        <v>Escenario Financiero Año 2010</v>
      </c>
      <c r="L9" s="353" t="str">
        <f>"Escenario Financiero Año "&amp;YEAR(Ingresos!$I$21)+9</f>
        <v>Escenario Financiero Año 2011</v>
      </c>
      <c r="M9" s="353" t="str">
        <f>"Escenario Financiero Año "&amp;YEAR(Ingresos!$I$21)+10</f>
        <v>Escenario Financiero Año 2012</v>
      </c>
      <c r="N9" s="353" t="str">
        <f>"Escenario Financiero Año "&amp;YEAR(Ingresos!$I$21)+11</f>
        <v>Escenario Financiero Año 2013</v>
      </c>
      <c r="O9" s="353" t="str">
        <f>"Escenario Financiero Año "&amp;YEAR(Ingresos!$I$21)+12</f>
        <v>Escenario Financiero Año 2014</v>
      </c>
      <c r="P9" s="353" t="str">
        <f>"Escenario Financiero Año "&amp;YEAR(Ingresos!$I$21)+13</f>
        <v>Escenario Financiero Año 2015</v>
      </c>
      <c r="Q9" s="353" t="str">
        <f>"Escenario Financiero Año "&amp;YEAR(Ingresos!$I$21)+14</f>
        <v>Escenario Financiero Año 2016</v>
      </c>
      <c r="R9" s="353" t="str">
        <f>"Escenario Financiero Año "&amp;YEAR(Ingresos!$I$21)+15</f>
        <v>Escenario Financiero Año 2017</v>
      </c>
      <c r="S9" s="353" t="str">
        <f>"Escenario Financiero Año "&amp;YEAR(Ingresos!$I$21)+16</f>
        <v>Escenario Financiero Año 2018</v>
      </c>
      <c r="T9" s="353" t="str">
        <f>"Escenario Financiero Año "&amp;YEAR(Ingresos!$I$21)+17</f>
        <v>Escenario Financiero Año 2019</v>
      </c>
      <c r="U9" s="353" t="str">
        <f>"Escenario Financiero Año "&amp;YEAR(Ingresos!$I$21)+18</f>
        <v>Escenario Financiero Año 2020</v>
      </c>
      <c r="V9" s="353" t="str">
        <f>"Escenario Financiero Año "&amp;YEAR(Ingresos!$I$21)+19</f>
        <v>Escenario Financiero Año 2021</v>
      </c>
      <c r="W9" s="353" t="str">
        <f>"Escenario Financiero Año "&amp;YEAR(Ingresos!$I$21)+20</f>
        <v>Escenario Financiero Año 2022</v>
      </c>
      <c r="Y9" s="966"/>
    </row>
    <row r="10" spans="1:41" ht="6.75" customHeight="1" thickBot="1">
      <c r="A10" s="823"/>
      <c r="B10" s="286"/>
      <c r="C10" s="273"/>
      <c r="D10" s="273"/>
      <c r="E10" s="273"/>
      <c r="F10" s="273"/>
      <c r="G10" s="273"/>
      <c r="H10" s="273"/>
      <c r="I10" s="273"/>
      <c r="J10" s="273"/>
      <c r="K10" s="273"/>
      <c r="L10" s="273"/>
      <c r="M10" s="273"/>
      <c r="N10" s="273"/>
      <c r="O10" s="273"/>
      <c r="P10" s="273"/>
      <c r="Q10" s="273"/>
      <c r="R10" s="273"/>
      <c r="S10" s="273"/>
      <c r="T10" s="273"/>
      <c r="U10" s="273"/>
      <c r="V10" s="273"/>
      <c r="W10" s="273"/>
    </row>
    <row r="11" spans="1:41">
      <c r="A11" s="824" t="s">
        <v>808</v>
      </c>
      <c r="B11" s="1144" t="s">
        <v>809</v>
      </c>
      <c r="C11" s="432" t="e">
        <f>+C12+C79</f>
        <v>#REF!</v>
      </c>
      <c r="D11" s="432" t="e">
        <f>+D12+D79</f>
        <v>#REF!</v>
      </c>
      <c r="E11" s="432" t="e">
        <f>+E12+E79</f>
        <v>#REF!</v>
      </c>
      <c r="F11" s="432" t="e">
        <f>+F12+F79</f>
        <v>#REF!</v>
      </c>
      <c r="G11" s="432" t="e">
        <f>+G12+G79</f>
        <v>#REF!</v>
      </c>
      <c r="H11" s="432">
        <v>5400742.3824000005</v>
      </c>
      <c r="I11" s="432">
        <f t="shared" ref="I11:Q11" si="0">+I12+I79</f>
        <v>5741239</v>
      </c>
      <c r="J11" s="432">
        <f t="shared" si="0"/>
        <v>5672107.3600000003</v>
      </c>
      <c r="K11" s="432">
        <f t="shared" si="0"/>
        <v>5898991.6543999994</v>
      </c>
      <c r="L11" s="432">
        <f t="shared" si="0"/>
        <v>6134951.320576</v>
      </c>
      <c r="M11" s="432">
        <f t="shared" si="0"/>
        <v>6428349.3726950409</v>
      </c>
      <c r="N11" s="432">
        <f t="shared" si="0"/>
        <v>6685483.3476028424</v>
      </c>
      <c r="O11" s="432">
        <f t="shared" si="0"/>
        <v>6952902.6815069569</v>
      </c>
      <c r="P11" s="432">
        <f t="shared" si="0"/>
        <v>7231018.7887672344</v>
      </c>
      <c r="Q11" s="432">
        <f t="shared" si="0"/>
        <v>7520259.5403179247</v>
      </c>
      <c r="R11" s="432">
        <f t="shared" ref="R11:W11" si="1">+R12+R79</f>
        <v>7821069.9219306419</v>
      </c>
      <c r="S11" s="432">
        <f t="shared" si="1"/>
        <v>8133912.7188078668</v>
      </c>
      <c r="T11" s="432">
        <f t="shared" si="1"/>
        <v>8459269.2275601812</v>
      </c>
      <c r="U11" s="432">
        <f t="shared" si="1"/>
        <v>8797639.9966625888</v>
      </c>
      <c r="V11" s="432">
        <f t="shared" si="1"/>
        <v>9149545.5965290908</v>
      </c>
      <c r="W11" s="432">
        <f t="shared" si="1"/>
        <v>9515527.4203902576</v>
      </c>
      <c r="X11" s="968"/>
      <c r="Z11" s="968"/>
      <c r="AA11" s="968"/>
      <c r="AB11" s="967"/>
      <c r="AC11" s="967"/>
      <c r="AD11" s="967"/>
      <c r="AE11" s="967"/>
      <c r="AF11" s="967"/>
      <c r="AG11" s="967"/>
      <c r="AH11" s="967"/>
      <c r="AI11" s="967"/>
      <c r="AJ11" s="967"/>
      <c r="AK11" s="967"/>
      <c r="AL11" s="971"/>
      <c r="AM11" s="967"/>
      <c r="AN11" s="967"/>
      <c r="AO11" s="967"/>
    </row>
    <row r="12" spans="1:41">
      <c r="A12" s="397" t="s">
        <v>810</v>
      </c>
      <c r="B12" s="1108" t="s">
        <v>811</v>
      </c>
      <c r="C12" s="432">
        <f>+C13+C35</f>
        <v>0</v>
      </c>
      <c r="D12" s="432">
        <f>+D13+D35</f>
        <v>0</v>
      </c>
      <c r="E12" s="432">
        <f>+E13+E35</f>
        <v>0</v>
      </c>
      <c r="F12" s="432">
        <f>+F13+F35</f>
        <v>6672041</v>
      </c>
      <c r="G12" s="432">
        <f>+G13+G35</f>
        <v>6200893.9199999999</v>
      </c>
      <c r="H12" s="432">
        <v>5372079.9824000001</v>
      </c>
      <c r="I12" s="432">
        <f t="shared" ref="I12:Q12" si="2">+I13+I35</f>
        <v>5740677</v>
      </c>
      <c r="J12" s="432">
        <f t="shared" si="2"/>
        <v>5667107.3600000003</v>
      </c>
      <c r="K12" s="432">
        <f t="shared" si="2"/>
        <v>5893791.6543999994</v>
      </c>
      <c r="L12" s="432">
        <f t="shared" si="2"/>
        <v>6129543.320576</v>
      </c>
      <c r="M12" s="432">
        <f t="shared" si="2"/>
        <v>6422724.3726950409</v>
      </c>
      <c r="N12" s="432">
        <f t="shared" si="2"/>
        <v>6679633.3476028424</v>
      </c>
      <c r="O12" s="432">
        <f t="shared" si="2"/>
        <v>6946818.6815069569</v>
      </c>
      <c r="P12" s="432">
        <f t="shared" si="2"/>
        <v>7224691.4287672341</v>
      </c>
      <c r="Q12" s="432">
        <f t="shared" si="2"/>
        <v>7513679.0859179245</v>
      </c>
      <c r="R12" s="432">
        <f t="shared" ref="R12:W12" si="3">+R13+R35</f>
        <v>7814226.2493546419</v>
      </c>
      <c r="S12" s="432">
        <f t="shared" si="3"/>
        <v>8126795.2993288264</v>
      </c>
      <c r="T12" s="432">
        <f t="shared" si="3"/>
        <v>8451867.1113019791</v>
      </c>
      <c r="U12" s="432">
        <f t="shared" si="3"/>
        <v>8789941.7957540583</v>
      </c>
      <c r="V12" s="432">
        <f t="shared" si="3"/>
        <v>9141539.4675842207</v>
      </c>
      <c r="W12" s="432">
        <f t="shared" si="3"/>
        <v>9507201.0462875925</v>
      </c>
      <c r="X12" s="968"/>
      <c r="Z12" s="968"/>
      <c r="AA12" s="968"/>
      <c r="AB12" s="967"/>
      <c r="AC12" s="967"/>
      <c r="AD12" s="967"/>
      <c r="AE12" s="967"/>
      <c r="AF12" s="967"/>
      <c r="AG12" s="967"/>
      <c r="AH12" s="967"/>
      <c r="AI12" s="967"/>
      <c r="AJ12" s="967"/>
      <c r="AK12" s="967"/>
      <c r="AL12" s="971"/>
      <c r="AM12" s="967"/>
      <c r="AN12" s="967"/>
      <c r="AO12" s="967"/>
    </row>
    <row r="13" spans="1:41">
      <c r="A13" s="398" t="s">
        <v>812</v>
      </c>
      <c r="B13" s="1108" t="s">
        <v>813</v>
      </c>
      <c r="C13" s="432">
        <f>+C14+C16+C17+C18+C19+C20+C21+C22+C23+C25+C27+C33+C34+C15+C26</f>
        <v>0</v>
      </c>
      <c r="D13" s="432">
        <f>+D14+D16+D17+D18+D19+D20+D21+D22+D23+D25+D27+D33+D34+D15+D26</f>
        <v>0</v>
      </c>
      <c r="E13" s="432">
        <f>+E14+E16+E17+E18+E19+E20+E21+E22+E23+E25+E27+E33+E34+E15+E26</f>
        <v>0</v>
      </c>
      <c r="F13" s="432">
        <f>+F14+F16+F17+F18+F19+F20+F21+F22+F23+F25+F27+F33+F34+F15+F26</f>
        <v>169089</v>
      </c>
      <c r="G13" s="432">
        <f>+G14+G16+G17+G18+G19+G20+G21+G22+G23+G25+G27+G33+G34+G15+G26</f>
        <v>175852.56</v>
      </c>
      <c r="H13" s="432">
        <v>202886.66240000003</v>
      </c>
      <c r="I13" s="432">
        <f>+I14+I16+I17+I18+I19+I20+I21+I22+I23+I25+I27+I33+I34+I15+I26+I24</f>
        <v>212457</v>
      </c>
      <c r="J13" s="432">
        <f t="shared" ref="J13:P13" si="4">+J14+J16+J17+J18+J19+J20+J21+J22+J23+J25+J27+J33+J34+J15+J26+J24</f>
        <v>400955.28</v>
      </c>
      <c r="K13" s="432">
        <f t="shared" si="4"/>
        <v>416993.49119999999</v>
      </c>
      <c r="L13" s="432">
        <f t="shared" si="4"/>
        <v>433673.23084800004</v>
      </c>
      <c r="M13" s="432">
        <f>+M14+M16+M17+M18+M19+M20+M21+M22+M23+M25+M27+M33+M34+M15+M26+M24</f>
        <v>260544.64008192002</v>
      </c>
      <c r="N13" s="432">
        <f t="shared" si="4"/>
        <v>270966.42568519682</v>
      </c>
      <c r="O13" s="432">
        <f t="shared" si="4"/>
        <v>281805.08271260472</v>
      </c>
      <c r="P13" s="432">
        <f t="shared" si="4"/>
        <v>293077.28602110886</v>
      </c>
      <c r="Q13" s="432">
        <f t="shared" ref="Q13:V13" si="5">+Q14+Q16+Q17+Q18+Q19+Q20+Q21+Q22+Q23+Q25+Q27+Q33+Q34+Q15+Q26+Q24</f>
        <v>304800.37746195326</v>
      </c>
      <c r="R13" s="432">
        <f t="shared" si="5"/>
        <v>316992.39256043144</v>
      </c>
      <c r="S13" s="432">
        <f t="shared" si="5"/>
        <v>329672.08826284861</v>
      </c>
      <c r="T13" s="432">
        <f t="shared" si="5"/>
        <v>342858.97179336258</v>
      </c>
      <c r="U13" s="432">
        <f t="shared" si="5"/>
        <v>356573.33066509711</v>
      </c>
      <c r="V13" s="432">
        <f t="shared" si="5"/>
        <v>370836.26389170112</v>
      </c>
      <c r="W13" s="432">
        <f>+W14+W16+W17+W18+W19+W20+W21+W22+W23+W25+W27+W33+W34+W15+W26+W24</f>
        <v>385669.7144473691</v>
      </c>
      <c r="X13" s="968"/>
      <c r="Z13" s="968"/>
      <c r="AA13" s="968"/>
      <c r="AB13" s="967"/>
      <c r="AC13" s="967"/>
      <c r="AD13" s="967"/>
      <c r="AE13" s="967"/>
      <c r="AF13" s="967"/>
      <c r="AG13" s="967"/>
      <c r="AH13" s="967"/>
      <c r="AI13" s="967"/>
      <c r="AJ13" s="967"/>
      <c r="AK13" s="967"/>
      <c r="AL13" s="971"/>
      <c r="AM13" s="967"/>
      <c r="AN13" s="967"/>
      <c r="AO13" s="967"/>
    </row>
    <row r="14" spans="1:41" ht="22.5">
      <c r="A14" s="18" t="s">
        <v>814</v>
      </c>
      <c r="B14" s="1145" t="s">
        <v>815</v>
      </c>
      <c r="C14" s="6"/>
      <c r="D14" s="6"/>
      <c r="E14" s="6"/>
      <c r="F14" s="6">
        <v>80000</v>
      </c>
      <c r="G14" s="6">
        <f t="shared" ref="G14:P14" si="6">+F14*1.04</f>
        <v>83200</v>
      </c>
      <c r="H14" s="6">
        <v>86528</v>
      </c>
      <c r="I14" s="6">
        <v>89989</v>
      </c>
      <c r="J14" s="6">
        <f>+I14*1.04</f>
        <v>93588.56</v>
      </c>
      <c r="K14" s="6">
        <f t="shared" si="6"/>
        <v>97332.102400000003</v>
      </c>
      <c r="L14" s="6">
        <f t="shared" si="6"/>
        <v>101225.38649600001</v>
      </c>
      <c r="M14" s="16">
        <f t="shared" si="6"/>
        <v>105274.40195584</v>
      </c>
      <c r="N14" s="6">
        <f t="shared" si="6"/>
        <v>109485.37803407361</v>
      </c>
      <c r="O14" s="6">
        <f t="shared" si="6"/>
        <v>113864.79315543656</v>
      </c>
      <c r="P14" s="6">
        <f t="shared" si="6"/>
        <v>118419.38488165403</v>
      </c>
      <c r="Q14" s="6">
        <f t="shared" ref="Q14:U26" si="7">+P14*1.04</f>
        <v>123156.16027692019</v>
      </c>
      <c r="R14" s="6">
        <f t="shared" si="7"/>
        <v>128082.40668799699</v>
      </c>
      <c r="S14" s="6">
        <f t="shared" si="7"/>
        <v>133205.70295551687</v>
      </c>
      <c r="T14" s="6">
        <f t="shared" si="7"/>
        <v>138533.93107373756</v>
      </c>
      <c r="U14" s="6">
        <f t="shared" si="7"/>
        <v>144075.28831668707</v>
      </c>
      <c r="V14" s="6">
        <f t="shared" ref="V14:W26" si="8">+U14*1.04</f>
        <v>149838.29984935457</v>
      </c>
      <c r="W14" s="6">
        <f t="shared" si="8"/>
        <v>155831.83184332875</v>
      </c>
      <c r="X14" s="968"/>
      <c r="Z14" s="968"/>
      <c r="AA14" s="968"/>
      <c r="AB14" s="967"/>
      <c r="AC14" s="967"/>
      <c r="AD14" s="967"/>
      <c r="AE14" s="967"/>
      <c r="AF14" s="967"/>
      <c r="AG14" s="967"/>
      <c r="AH14" s="967"/>
      <c r="AI14" s="967"/>
      <c r="AJ14" s="967"/>
      <c r="AK14" s="967"/>
      <c r="AL14" s="971"/>
      <c r="AM14" s="967"/>
      <c r="AN14" s="967"/>
      <c r="AO14" s="967"/>
    </row>
    <row r="15" spans="1:41" ht="22.5" hidden="1">
      <c r="A15" s="18" t="s">
        <v>816</v>
      </c>
      <c r="B15" s="1145" t="s">
        <v>562</v>
      </c>
      <c r="C15" s="6"/>
      <c r="D15" s="6"/>
      <c r="E15" s="6"/>
      <c r="F15" s="6">
        <v>0</v>
      </c>
      <c r="G15" s="6">
        <f t="shared" ref="G15:P15" si="9">+F15*1.04</f>
        <v>0</v>
      </c>
      <c r="H15" s="6">
        <v>0</v>
      </c>
      <c r="I15" s="6">
        <v>0</v>
      </c>
      <c r="J15" s="6">
        <f t="shared" si="9"/>
        <v>0</v>
      </c>
      <c r="K15" s="6">
        <f t="shared" si="9"/>
        <v>0</v>
      </c>
      <c r="L15" s="6">
        <f t="shared" si="9"/>
        <v>0</v>
      </c>
      <c r="M15" s="16">
        <f t="shared" si="9"/>
        <v>0</v>
      </c>
      <c r="N15" s="6">
        <f t="shared" si="9"/>
        <v>0</v>
      </c>
      <c r="O15" s="6">
        <f t="shared" si="9"/>
        <v>0</v>
      </c>
      <c r="P15" s="6">
        <f t="shared" si="9"/>
        <v>0</v>
      </c>
      <c r="Q15" s="6">
        <f t="shared" si="7"/>
        <v>0</v>
      </c>
      <c r="R15" s="6">
        <f t="shared" si="7"/>
        <v>0</v>
      </c>
      <c r="S15" s="6">
        <f t="shared" si="7"/>
        <v>0</v>
      </c>
      <c r="T15" s="6">
        <f t="shared" si="7"/>
        <v>0</v>
      </c>
      <c r="U15" s="6">
        <f t="shared" si="7"/>
        <v>0</v>
      </c>
      <c r="V15" s="6">
        <f t="shared" si="8"/>
        <v>0</v>
      </c>
      <c r="W15" s="6">
        <f t="shared" si="8"/>
        <v>0</v>
      </c>
      <c r="X15" s="968"/>
      <c r="Z15" s="968"/>
      <c r="AA15" s="968"/>
      <c r="AB15" s="967"/>
      <c r="AC15" s="967"/>
      <c r="AD15" s="967"/>
      <c r="AE15" s="967"/>
      <c r="AF15" s="967"/>
      <c r="AG15" s="967"/>
      <c r="AH15" s="967"/>
      <c r="AI15" s="967"/>
      <c r="AJ15" s="967"/>
      <c r="AK15" s="967"/>
      <c r="AL15" s="971"/>
      <c r="AM15" s="967"/>
      <c r="AN15" s="967"/>
      <c r="AO15" s="967"/>
    </row>
    <row r="16" spans="1:41">
      <c r="A16" s="825" t="s">
        <v>818</v>
      </c>
      <c r="B16" s="1107" t="s">
        <v>819</v>
      </c>
      <c r="C16" s="6"/>
      <c r="D16" s="6"/>
      <c r="E16" s="6"/>
      <c r="F16" s="6">
        <v>2000</v>
      </c>
      <c r="G16" s="6">
        <f t="shared" ref="G16:P16" si="10">+F16*1.04</f>
        <v>2080</v>
      </c>
      <c r="H16" s="6">
        <v>2163.1999999999998</v>
      </c>
      <c r="I16" s="6">
        <v>2250</v>
      </c>
      <c r="J16" s="6">
        <f t="shared" ref="J16:J25" si="11">+I16*1.04</f>
        <v>2340</v>
      </c>
      <c r="K16" s="6">
        <f t="shared" si="10"/>
        <v>2433.6</v>
      </c>
      <c r="L16" s="6">
        <f t="shared" si="10"/>
        <v>2530.944</v>
      </c>
      <c r="M16" s="16">
        <f t="shared" si="10"/>
        <v>2632.1817599999999</v>
      </c>
      <c r="N16" s="6">
        <f t="shared" si="10"/>
        <v>2737.4690304000001</v>
      </c>
      <c r="O16" s="6">
        <f t="shared" si="10"/>
        <v>2846.9677916160003</v>
      </c>
      <c r="P16" s="6">
        <f t="shared" si="10"/>
        <v>2960.8465032806403</v>
      </c>
      <c r="Q16" s="6">
        <f t="shared" si="7"/>
        <v>3079.2803634118659</v>
      </c>
      <c r="R16" s="6">
        <f t="shared" si="7"/>
        <v>3202.4515779483409</v>
      </c>
      <c r="S16" s="6">
        <f t="shared" si="7"/>
        <v>3330.5496410662745</v>
      </c>
      <c r="T16" s="6">
        <f t="shared" si="7"/>
        <v>3463.7716267089254</v>
      </c>
      <c r="U16" s="6">
        <f t="shared" si="7"/>
        <v>3602.3224917772827</v>
      </c>
      <c r="V16" s="6">
        <f t="shared" si="8"/>
        <v>3746.4153914483741</v>
      </c>
      <c r="W16" s="6">
        <f t="shared" si="8"/>
        <v>3896.272007106309</v>
      </c>
      <c r="X16" s="968"/>
      <c r="Z16" s="968"/>
      <c r="AA16" s="968"/>
      <c r="AB16" s="967"/>
      <c r="AC16" s="967"/>
      <c r="AD16" s="967"/>
      <c r="AE16" s="967"/>
      <c r="AF16" s="967"/>
      <c r="AG16" s="967"/>
      <c r="AH16" s="967"/>
      <c r="AI16" s="967"/>
      <c r="AJ16" s="967"/>
      <c r="AK16" s="967"/>
      <c r="AL16" s="971"/>
      <c r="AM16" s="967"/>
      <c r="AN16" s="967"/>
      <c r="AO16" s="967"/>
    </row>
    <row r="17" spans="1:41">
      <c r="A17" s="18" t="s">
        <v>820</v>
      </c>
      <c r="B17" s="1145" t="s">
        <v>821</v>
      </c>
      <c r="C17" s="6"/>
      <c r="D17" s="6"/>
      <c r="E17" s="6"/>
      <c r="F17" s="6">
        <v>45000</v>
      </c>
      <c r="G17" s="6">
        <f t="shared" ref="G17:P24" si="12">+F17*1.04</f>
        <v>46800</v>
      </c>
      <c r="H17" s="6">
        <v>48672</v>
      </c>
      <c r="I17" s="6">
        <v>65000</v>
      </c>
      <c r="J17" s="6">
        <f t="shared" si="11"/>
        <v>67600</v>
      </c>
      <c r="K17" s="6">
        <f t="shared" si="12"/>
        <v>70304</v>
      </c>
      <c r="L17" s="6">
        <f t="shared" si="12"/>
        <v>73116.160000000003</v>
      </c>
      <c r="M17" s="16">
        <f t="shared" si="12"/>
        <v>76040.806400000001</v>
      </c>
      <c r="N17" s="6">
        <f t="shared" si="12"/>
        <v>79082.438655999998</v>
      </c>
      <c r="O17" s="6">
        <f t="shared" si="12"/>
        <v>82245.736202240005</v>
      </c>
      <c r="P17" s="6">
        <f t="shared" si="12"/>
        <v>85535.565650329605</v>
      </c>
      <c r="Q17" s="6">
        <f t="shared" si="7"/>
        <v>88956.988276342789</v>
      </c>
      <c r="R17" s="6">
        <f t="shared" si="7"/>
        <v>92515.267807396507</v>
      </c>
      <c r="S17" s="6">
        <f t="shared" si="7"/>
        <v>96215.878519692371</v>
      </c>
      <c r="T17" s="6">
        <f t="shared" si="7"/>
        <v>100064.51366048006</v>
      </c>
      <c r="U17" s="6">
        <f t="shared" si="7"/>
        <v>104067.09420689927</v>
      </c>
      <c r="V17" s="6">
        <f t="shared" si="8"/>
        <v>108229.77797517525</v>
      </c>
      <c r="W17" s="6">
        <f t="shared" si="8"/>
        <v>112558.96909418226</v>
      </c>
      <c r="X17" s="968"/>
      <c r="Z17" s="968"/>
      <c r="AA17" s="968"/>
      <c r="AB17" s="967"/>
      <c r="AC17" s="967"/>
      <c r="AD17" s="967"/>
      <c r="AE17" s="967"/>
      <c r="AF17" s="967"/>
      <c r="AG17" s="967"/>
      <c r="AH17" s="967"/>
      <c r="AI17" s="967"/>
      <c r="AJ17" s="967"/>
      <c r="AK17" s="967"/>
      <c r="AL17" s="971"/>
      <c r="AM17" s="967"/>
      <c r="AN17" s="967"/>
      <c r="AO17" s="967"/>
    </row>
    <row r="18" spans="1:41" ht="15.75" customHeight="1">
      <c r="A18" s="19" t="s">
        <v>822</v>
      </c>
      <c r="B18" s="1145" t="s">
        <v>823</v>
      </c>
      <c r="C18" s="6"/>
      <c r="D18" s="6"/>
      <c r="E18" s="6"/>
      <c r="F18" s="6">
        <v>0</v>
      </c>
      <c r="G18" s="6">
        <f t="shared" si="12"/>
        <v>0</v>
      </c>
      <c r="H18" s="6">
        <v>20000</v>
      </c>
      <c r="I18" s="6">
        <v>0</v>
      </c>
      <c r="J18" s="6">
        <f t="shared" si="11"/>
        <v>0</v>
      </c>
      <c r="K18" s="6">
        <f t="shared" si="12"/>
        <v>0</v>
      </c>
      <c r="L18" s="6">
        <f t="shared" si="12"/>
        <v>0</v>
      </c>
      <c r="M18" s="16">
        <v>12000</v>
      </c>
      <c r="N18" s="6">
        <f t="shared" si="12"/>
        <v>12480</v>
      </c>
      <c r="O18" s="6">
        <f t="shared" si="12"/>
        <v>12979.2</v>
      </c>
      <c r="P18" s="6">
        <f t="shared" si="12"/>
        <v>13498.368</v>
      </c>
      <c r="Q18" s="6">
        <f t="shared" si="7"/>
        <v>14038.302720000002</v>
      </c>
      <c r="R18" s="6">
        <f t="shared" si="7"/>
        <v>14599.834828800002</v>
      </c>
      <c r="S18" s="6">
        <f t="shared" si="7"/>
        <v>15183.828221952002</v>
      </c>
      <c r="T18" s="6">
        <f t="shared" si="7"/>
        <v>15791.181350830084</v>
      </c>
      <c r="U18" s="6">
        <f t="shared" si="7"/>
        <v>16422.828604863287</v>
      </c>
      <c r="V18" s="6">
        <f t="shared" si="8"/>
        <v>17079.741749057819</v>
      </c>
      <c r="W18" s="6">
        <f t="shared" si="8"/>
        <v>17762.931419020133</v>
      </c>
      <c r="X18" s="968"/>
      <c r="Z18" s="968"/>
      <c r="AA18" s="968"/>
      <c r="AB18" s="967"/>
      <c r="AC18" s="967"/>
      <c r="AD18" s="967"/>
      <c r="AE18" s="967"/>
      <c r="AF18" s="967"/>
      <c r="AG18" s="967"/>
      <c r="AH18" s="967"/>
      <c r="AI18" s="967"/>
      <c r="AJ18" s="967"/>
      <c r="AK18" s="967"/>
      <c r="AL18" s="971"/>
      <c r="AM18" s="967"/>
      <c r="AN18" s="967"/>
      <c r="AO18" s="967"/>
    </row>
    <row r="19" spans="1:41">
      <c r="A19" s="19" t="s">
        <v>824</v>
      </c>
      <c r="B19" s="1145" t="s">
        <v>825</v>
      </c>
      <c r="C19" s="6"/>
      <c r="D19" s="6"/>
      <c r="E19" s="6"/>
      <c r="F19" s="6">
        <v>200</v>
      </c>
      <c r="G19" s="6">
        <f t="shared" si="12"/>
        <v>208</v>
      </c>
      <c r="H19" s="6">
        <v>216.32</v>
      </c>
      <c r="I19" s="6">
        <v>225</v>
      </c>
      <c r="J19" s="6">
        <f t="shared" si="11"/>
        <v>234</v>
      </c>
      <c r="K19" s="6">
        <f t="shared" si="12"/>
        <v>243.36</v>
      </c>
      <c r="L19" s="6">
        <f t="shared" si="12"/>
        <v>253.09440000000004</v>
      </c>
      <c r="M19" s="16">
        <f t="shared" si="12"/>
        <v>263.21817600000003</v>
      </c>
      <c r="N19" s="6">
        <f t="shared" si="12"/>
        <v>273.74690304000006</v>
      </c>
      <c r="O19" s="6">
        <f t="shared" si="12"/>
        <v>284.69677916160009</v>
      </c>
      <c r="P19" s="6">
        <f t="shared" si="12"/>
        <v>296.08465032806413</v>
      </c>
      <c r="Q19" s="6">
        <f t="shared" si="7"/>
        <v>307.92803634118673</v>
      </c>
      <c r="R19" s="6">
        <f t="shared" si="7"/>
        <v>320.2451577948342</v>
      </c>
      <c r="S19" s="6">
        <f t="shared" si="7"/>
        <v>333.05496410662755</v>
      </c>
      <c r="T19" s="6">
        <f t="shared" si="7"/>
        <v>346.37716267089269</v>
      </c>
      <c r="U19" s="6">
        <f t="shared" si="7"/>
        <v>360.23224917772842</v>
      </c>
      <c r="V19" s="6">
        <f t="shared" si="8"/>
        <v>374.64153914483757</v>
      </c>
      <c r="W19" s="6">
        <f t="shared" si="8"/>
        <v>389.62720071063109</v>
      </c>
      <c r="X19" s="968"/>
      <c r="Z19" s="968"/>
      <c r="AA19" s="968"/>
      <c r="AB19" s="967"/>
      <c r="AC19" s="967"/>
      <c r="AD19" s="967"/>
      <c r="AE19" s="967"/>
      <c r="AF19" s="967"/>
      <c r="AG19" s="967"/>
      <c r="AH19" s="967"/>
      <c r="AI19" s="967"/>
      <c r="AJ19" s="967"/>
      <c r="AK19" s="967"/>
      <c r="AL19" s="971"/>
      <c r="AM19" s="967"/>
      <c r="AN19" s="967"/>
      <c r="AO19" s="967"/>
    </row>
    <row r="20" spans="1:41">
      <c r="A20" s="18" t="s">
        <v>826</v>
      </c>
      <c r="B20" s="1107" t="s">
        <v>827</v>
      </c>
      <c r="C20" s="6"/>
      <c r="D20" s="6"/>
      <c r="E20" s="6"/>
      <c r="F20" s="6">
        <v>3500</v>
      </c>
      <c r="G20" s="6">
        <f t="shared" si="12"/>
        <v>3640</v>
      </c>
      <c r="H20" s="6">
        <v>3785.6</v>
      </c>
      <c r="I20" s="6">
        <v>3937</v>
      </c>
      <c r="J20" s="6">
        <f t="shared" si="11"/>
        <v>4094.48</v>
      </c>
      <c r="K20" s="6">
        <f t="shared" si="12"/>
        <v>4258.2592000000004</v>
      </c>
      <c r="L20" s="6">
        <f t="shared" si="12"/>
        <v>4428.5895680000003</v>
      </c>
      <c r="M20" s="16">
        <f t="shared" si="12"/>
        <v>4605.7331507200006</v>
      </c>
      <c r="N20" s="6">
        <f t="shared" si="12"/>
        <v>4789.9624767488003</v>
      </c>
      <c r="O20" s="6">
        <f t="shared" si="12"/>
        <v>4981.5609758187529</v>
      </c>
      <c r="P20" s="6">
        <f t="shared" si="12"/>
        <v>5180.823414851503</v>
      </c>
      <c r="Q20" s="6">
        <f t="shared" si="7"/>
        <v>5388.0563514455635</v>
      </c>
      <c r="R20" s="6">
        <f t="shared" si="7"/>
        <v>5603.5786055033859</v>
      </c>
      <c r="S20" s="6">
        <f t="shared" si="7"/>
        <v>5827.7217497235215</v>
      </c>
      <c r="T20" s="6">
        <f t="shared" si="7"/>
        <v>6060.830619712463</v>
      </c>
      <c r="U20" s="6">
        <f t="shared" si="7"/>
        <v>6303.2638445009616</v>
      </c>
      <c r="V20" s="6">
        <f t="shared" si="8"/>
        <v>6555.3943982810006</v>
      </c>
      <c r="W20" s="6">
        <f t="shared" si="8"/>
        <v>6817.610174212241</v>
      </c>
      <c r="X20" s="968"/>
      <c r="Z20" s="968"/>
      <c r="AA20" s="968"/>
      <c r="AB20" s="967"/>
      <c r="AC20" s="967"/>
      <c r="AD20" s="967"/>
      <c r="AE20" s="967"/>
      <c r="AF20" s="967"/>
      <c r="AG20" s="967"/>
      <c r="AH20" s="967"/>
      <c r="AI20" s="967"/>
      <c r="AJ20" s="967"/>
      <c r="AK20" s="967"/>
      <c r="AL20" s="971"/>
      <c r="AM20" s="967"/>
      <c r="AN20" s="967"/>
      <c r="AO20" s="967"/>
    </row>
    <row r="21" spans="1:41">
      <c r="A21" s="19" t="s">
        <v>828</v>
      </c>
      <c r="B21" s="1145" t="s">
        <v>900</v>
      </c>
      <c r="C21" s="6"/>
      <c r="D21" s="6"/>
      <c r="E21" s="6"/>
      <c r="F21" s="6">
        <v>6000</v>
      </c>
      <c r="G21" s="6">
        <f t="shared" si="12"/>
        <v>6240</v>
      </c>
      <c r="H21" s="6">
        <v>6489.6</v>
      </c>
      <c r="I21" s="6">
        <v>6749</v>
      </c>
      <c r="J21" s="6">
        <f t="shared" si="11"/>
        <v>7018.96</v>
      </c>
      <c r="K21" s="6">
        <f t="shared" si="12"/>
        <v>7299.7184000000007</v>
      </c>
      <c r="L21" s="6">
        <f t="shared" si="12"/>
        <v>7591.7071360000009</v>
      </c>
      <c r="M21" s="16">
        <f t="shared" si="12"/>
        <v>7895.3754214400014</v>
      </c>
      <c r="N21" s="6">
        <f t="shared" si="12"/>
        <v>8211.1904382976027</v>
      </c>
      <c r="O21" s="6">
        <f t="shared" si="12"/>
        <v>8539.6380558295077</v>
      </c>
      <c r="P21" s="6">
        <f t="shared" si="12"/>
        <v>8881.2235780626888</v>
      </c>
      <c r="Q21" s="6">
        <f t="shared" si="7"/>
        <v>9236.4725211851965</v>
      </c>
      <c r="R21" s="6">
        <f t="shared" si="7"/>
        <v>9605.931422032605</v>
      </c>
      <c r="S21" s="6">
        <f t="shared" si="7"/>
        <v>9990.1686789139094</v>
      </c>
      <c r="T21" s="6">
        <f t="shared" si="7"/>
        <v>10389.775426070466</v>
      </c>
      <c r="U21" s="6">
        <f t="shared" si="7"/>
        <v>10805.366443113286</v>
      </c>
      <c r="V21" s="6">
        <f t="shared" si="8"/>
        <v>11237.581100837817</v>
      </c>
      <c r="W21" s="6">
        <f t="shared" si="8"/>
        <v>11687.084344871329</v>
      </c>
      <c r="X21" s="968">
        <f>878156*0.2</f>
        <v>175631.2</v>
      </c>
      <c r="Z21" s="968"/>
      <c r="AA21" s="968"/>
      <c r="AB21" s="967"/>
      <c r="AC21" s="967"/>
      <c r="AD21" s="967"/>
      <c r="AE21" s="967"/>
      <c r="AF21" s="967"/>
      <c r="AG21" s="967"/>
      <c r="AH21" s="967"/>
      <c r="AI21" s="967"/>
      <c r="AJ21" s="967"/>
      <c r="AK21" s="967"/>
      <c r="AL21" s="971"/>
      <c r="AM21" s="967"/>
      <c r="AN21" s="967"/>
      <c r="AO21" s="967"/>
    </row>
    <row r="22" spans="1:41">
      <c r="A22" s="19" t="s">
        <v>829</v>
      </c>
      <c r="B22" s="1145" t="s">
        <v>830</v>
      </c>
      <c r="C22" s="6"/>
      <c r="D22" s="6"/>
      <c r="E22" s="6"/>
      <c r="F22" s="6">
        <v>700</v>
      </c>
      <c r="G22" s="6">
        <f t="shared" si="12"/>
        <v>728</v>
      </c>
      <c r="H22" s="6">
        <v>757.12</v>
      </c>
      <c r="I22" s="6">
        <v>787</v>
      </c>
      <c r="J22" s="6">
        <f t="shared" si="11"/>
        <v>818.48</v>
      </c>
      <c r="K22" s="6">
        <f t="shared" si="12"/>
        <v>851.2192</v>
      </c>
      <c r="L22" s="6">
        <f t="shared" si="12"/>
        <v>885.267968</v>
      </c>
      <c r="M22" s="16">
        <f t="shared" si="12"/>
        <v>920.67868671999997</v>
      </c>
      <c r="N22" s="6">
        <f t="shared" si="12"/>
        <v>957.50583418880001</v>
      </c>
      <c r="O22" s="6">
        <f t="shared" si="12"/>
        <v>995.80606755635199</v>
      </c>
      <c r="P22" s="6">
        <f t="shared" si="12"/>
        <v>1035.638310258606</v>
      </c>
      <c r="Q22" s="6">
        <f t="shared" si="7"/>
        <v>1077.0638426689502</v>
      </c>
      <c r="R22" s="6">
        <f t="shared" si="7"/>
        <v>1120.1463963757083</v>
      </c>
      <c r="S22" s="6">
        <f t="shared" si="7"/>
        <v>1164.9522522307366</v>
      </c>
      <c r="T22" s="6">
        <f t="shared" si="7"/>
        <v>1211.5503423199661</v>
      </c>
      <c r="U22" s="6">
        <f t="shared" si="7"/>
        <v>1260.0123560127649</v>
      </c>
      <c r="V22" s="6">
        <f t="shared" si="8"/>
        <v>1310.4128502532756</v>
      </c>
      <c r="W22" s="6">
        <f t="shared" si="8"/>
        <v>1362.8293642634067</v>
      </c>
      <c r="X22" s="968"/>
      <c r="Z22" s="968"/>
      <c r="AA22" s="968"/>
      <c r="AB22" s="967"/>
      <c r="AC22" s="967"/>
      <c r="AD22" s="967"/>
      <c r="AE22" s="967"/>
      <c r="AF22" s="967"/>
      <c r="AG22" s="967"/>
      <c r="AH22" s="967"/>
      <c r="AI22" s="967"/>
      <c r="AJ22" s="967"/>
      <c r="AK22" s="967"/>
      <c r="AL22" s="971"/>
      <c r="AM22" s="967"/>
      <c r="AN22" s="967"/>
      <c r="AO22" s="967"/>
    </row>
    <row r="23" spans="1:41" ht="22.5">
      <c r="A23" s="19" t="s">
        <v>831</v>
      </c>
      <c r="B23" s="1145" t="s">
        <v>899</v>
      </c>
      <c r="C23" s="6"/>
      <c r="D23" s="6"/>
      <c r="E23" s="6"/>
      <c r="F23" s="6">
        <v>2000</v>
      </c>
      <c r="G23" s="6">
        <f t="shared" si="12"/>
        <v>2080</v>
      </c>
      <c r="H23" s="6">
        <v>2163.1999999999998</v>
      </c>
      <c r="I23" s="6">
        <v>2250</v>
      </c>
      <c r="J23" s="6">
        <f t="shared" si="11"/>
        <v>2340</v>
      </c>
      <c r="K23" s="6">
        <f t="shared" si="12"/>
        <v>2433.6</v>
      </c>
      <c r="L23" s="6">
        <f t="shared" si="12"/>
        <v>2530.944</v>
      </c>
      <c r="M23" s="16">
        <f t="shared" si="12"/>
        <v>2632.1817599999999</v>
      </c>
      <c r="N23" s="6">
        <f t="shared" si="12"/>
        <v>2737.4690304000001</v>
      </c>
      <c r="O23" s="6">
        <f t="shared" si="12"/>
        <v>2846.9677916160003</v>
      </c>
      <c r="P23" s="6">
        <f t="shared" si="12"/>
        <v>2960.8465032806403</v>
      </c>
      <c r="Q23" s="6">
        <f t="shared" si="7"/>
        <v>3079.2803634118659</v>
      </c>
      <c r="R23" s="6">
        <f t="shared" si="7"/>
        <v>3202.4515779483409</v>
      </c>
      <c r="S23" s="6">
        <f t="shared" si="7"/>
        <v>3330.5496410662745</v>
      </c>
      <c r="T23" s="6">
        <f t="shared" si="7"/>
        <v>3463.7716267089254</v>
      </c>
      <c r="U23" s="6">
        <f t="shared" si="7"/>
        <v>3602.3224917772827</v>
      </c>
      <c r="V23" s="6">
        <f t="shared" si="8"/>
        <v>3746.4153914483741</v>
      </c>
      <c r="W23" s="6">
        <f t="shared" si="8"/>
        <v>3896.272007106309</v>
      </c>
      <c r="X23" s="968"/>
      <c r="Z23" s="968"/>
      <c r="AA23" s="968"/>
      <c r="AB23" s="967"/>
      <c r="AC23" s="967"/>
      <c r="AD23" s="967"/>
      <c r="AE23" s="967"/>
      <c r="AF23" s="967"/>
      <c r="AG23" s="967"/>
      <c r="AH23" s="967"/>
      <c r="AI23" s="967"/>
      <c r="AJ23" s="967"/>
      <c r="AK23" s="967"/>
      <c r="AL23" s="971"/>
      <c r="AM23" s="967"/>
      <c r="AN23" s="967"/>
      <c r="AO23" s="967"/>
    </row>
    <row r="24" spans="1:41">
      <c r="A24" s="19"/>
      <c r="B24" s="1145" t="s">
        <v>657</v>
      </c>
      <c r="C24" s="6"/>
      <c r="D24" s="6"/>
      <c r="E24" s="6"/>
      <c r="F24" s="6"/>
      <c r="G24" s="6"/>
      <c r="H24" s="6"/>
      <c r="I24" s="6">
        <v>7874</v>
      </c>
      <c r="J24" s="6">
        <f t="shared" si="11"/>
        <v>8188.96</v>
      </c>
      <c r="K24" s="6">
        <f t="shared" si="12"/>
        <v>8516.5184000000008</v>
      </c>
      <c r="L24" s="6">
        <f t="shared" si="12"/>
        <v>8857.1791360000007</v>
      </c>
      <c r="M24" s="16">
        <f t="shared" si="12"/>
        <v>9211.4663014400012</v>
      </c>
      <c r="N24" s="6">
        <f t="shared" si="12"/>
        <v>9579.9249534976007</v>
      </c>
      <c r="O24" s="6">
        <f t="shared" si="12"/>
        <v>9963.1219516375058</v>
      </c>
      <c r="P24" s="6">
        <f t="shared" si="12"/>
        <v>10361.646829703006</v>
      </c>
      <c r="Q24" s="6">
        <f t="shared" si="7"/>
        <v>10776.112702891127</v>
      </c>
      <c r="R24" s="6">
        <f t="shared" si="7"/>
        <v>11207.157211006772</v>
      </c>
      <c r="S24" s="6">
        <f t="shared" si="7"/>
        <v>11655.443499447043</v>
      </c>
      <c r="T24" s="6">
        <f t="shared" si="7"/>
        <v>12121.661239424926</v>
      </c>
      <c r="U24" s="6">
        <f t="shared" si="7"/>
        <v>12606.527689001923</v>
      </c>
      <c r="V24" s="6">
        <f t="shared" si="8"/>
        <v>13110.788796562001</v>
      </c>
      <c r="W24" s="6">
        <f t="shared" si="8"/>
        <v>13635.220348424482</v>
      </c>
      <c r="X24" s="968"/>
      <c r="Z24" s="968"/>
      <c r="AA24" s="968"/>
      <c r="AB24" s="967"/>
      <c r="AC24" s="967"/>
      <c r="AD24" s="967"/>
      <c r="AE24" s="967"/>
      <c r="AF24" s="967"/>
      <c r="AG24" s="967"/>
      <c r="AH24" s="967"/>
      <c r="AI24" s="967"/>
      <c r="AJ24" s="967"/>
      <c r="AK24" s="967"/>
      <c r="AL24" s="971"/>
      <c r="AM24" s="967"/>
      <c r="AN24" s="967"/>
      <c r="AO24" s="967"/>
    </row>
    <row r="25" spans="1:41">
      <c r="A25" s="18" t="s">
        <v>832</v>
      </c>
      <c r="B25" s="1107" t="s">
        <v>902</v>
      </c>
      <c r="C25" s="6"/>
      <c r="D25" s="6"/>
      <c r="E25" s="6"/>
      <c r="F25" s="6">
        <v>1000</v>
      </c>
      <c r="G25" s="6">
        <f t="shared" ref="G25:P25" si="13">+F25*1.04</f>
        <v>1040</v>
      </c>
      <c r="H25" s="6">
        <v>1081.5999999999999</v>
      </c>
      <c r="I25" s="6">
        <v>1125</v>
      </c>
      <c r="J25" s="6">
        <f t="shared" si="11"/>
        <v>1170</v>
      </c>
      <c r="K25" s="6">
        <f t="shared" si="13"/>
        <v>1216.8</v>
      </c>
      <c r="L25" s="6">
        <f t="shared" si="13"/>
        <v>1265.472</v>
      </c>
      <c r="M25" s="16">
        <f t="shared" si="13"/>
        <v>1316.09088</v>
      </c>
      <c r="N25" s="6">
        <f t="shared" si="13"/>
        <v>1368.7345152</v>
      </c>
      <c r="O25" s="6">
        <f t="shared" si="13"/>
        <v>1423.4838958080002</v>
      </c>
      <c r="P25" s="6">
        <f t="shared" si="13"/>
        <v>1480.4232516403201</v>
      </c>
      <c r="Q25" s="6">
        <f t="shared" si="7"/>
        <v>1539.6401817059329</v>
      </c>
      <c r="R25" s="6">
        <f t="shared" si="7"/>
        <v>1601.2257889741704</v>
      </c>
      <c r="S25" s="6">
        <f t="shared" si="7"/>
        <v>1665.2748205331372</v>
      </c>
      <c r="T25" s="6">
        <f t="shared" si="7"/>
        <v>1731.8858133544627</v>
      </c>
      <c r="U25" s="6">
        <f t="shared" si="7"/>
        <v>1801.1612458886414</v>
      </c>
      <c r="V25" s="6">
        <f t="shared" si="8"/>
        <v>1873.207695724187</v>
      </c>
      <c r="W25" s="6">
        <f t="shared" si="8"/>
        <v>1948.1360035531545</v>
      </c>
      <c r="X25" s="968"/>
      <c r="Z25" s="968"/>
      <c r="AA25" s="968"/>
      <c r="AB25" s="967"/>
      <c r="AC25" s="967"/>
      <c r="AD25" s="967"/>
      <c r="AE25" s="967"/>
      <c r="AF25" s="967"/>
      <c r="AG25" s="967"/>
      <c r="AH25" s="967"/>
      <c r="AI25" s="967"/>
      <c r="AJ25" s="967"/>
      <c r="AK25" s="967"/>
      <c r="AL25" s="971"/>
      <c r="AM25" s="967"/>
      <c r="AN25" s="967"/>
      <c r="AO25" s="967"/>
    </row>
    <row r="26" spans="1:41" hidden="1">
      <c r="A26" s="18" t="s">
        <v>833</v>
      </c>
      <c r="B26" s="1145" t="s">
        <v>901</v>
      </c>
      <c r="C26" s="6"/>
      <c r="D26" s="6"/>
      <c r="E26" s="6"/>
      <c r="F26" s="6">
        <v>0</v>
      </c>
      <c r="G26" s="6">
        <f t="shared" ref="G26:P26" si="14">+F26*1.04</f>
        <v>0</v>
      </c>
      <c r="H26" s="6">
        <v>0</v>
      </c>
      <c r="I26" s="6">
        <f t="shared" si="14"/>
        <v>0</v>
      </c>
      <c r="J26" s="6">
        <f t="shared" si="14"/>
        <v>0</v>
      </c>
      <c r="K26" s="6">
        <f t="shared" si="14"/>
        <v>0</v>
      </c>
      <c r="L26" s="6">
        <f t="shared" si="14"/>
        <v>0</v>
      </c>
      <c r="M26" s="16">
        <f t="shared" si="14"/>
        <v>0</v>
      </c>
      <c r="N26" s="6">
        <f t="shared" si="14"/>
        <v>0</v>
      </c>
      <c r="O26" s="6">
        <f t="shared" si="14"/>
        <v>0</v>
      </c>
      <c r="P26" s="6">
        <f t="shared" si="14"/>
        <v>0</v>
      </c>
      <c r="Q26" s="6">
        <f t="shared" si="7"/>
        <v>0</v>
      </c>
      <c r="R26" s="6">
        <f t="shared" si="7"/>
        <v>0</v>
      </c>
      <c r="S26" s="6">
        <f t="shared" si="7"/>
        <v>0</v>
      </c>
      <c r="T26" s="6">
        <f t="shared" si="7"/>
        <v>0</v>
      </c>
      <c r="U26" s="6">
        <f t="shared" si="7"/>
        <v>0</v>
      </c>
      <c r="V26" s="6">
        <f t="shared" si="8"/>
        <v>0</v>
      </c>
      <c r="W26" s="6">
        <f t="shared" si="8"/>
        <v>0</v>
      </c>
      <c r="X26" s="968"/>
      <c r="Z26" s="968"/>
      <c r="AA26" s="968"/>
      <c r="AB26" s="967"/>
      <c r="AC26" s="967"/>
      <c r="AD26" s="967"/>
      <c r="AE26" s="967"/>
      <c r="AF26" s="967"/>
      <c r="AG26" s="967"/>
      <c r="AH26" s="967"/>
      <c r="AI26" s="967"/>
      <c r="AJ26" s="967"/>
      <c r="AK26" s="967"/>
      <c r="AL26" s="971"/>
      <c r="AM26" s="967"/>
      <c r="AN26" s="967"/>
      <c r="AO26" s="967"/>
    </row>
    <row r="27" spans="1:41">
      <c r="A27" s="19" t="s">
        <v>835</v>
      </c>
      <c r="B27" s="1106" t="s">
        <v>1291</v>
      </c>
      <c r="C27" s="32">
        <f>SUM(C28:C32)</f>
        <v>0</v>
      </c>
      <c r="D27" s="32">
        <f t="shared" ref="D27:P27" si="15">SUM(D28:D32)</f>
        <v>0</v>
      </c>
      <c r="E27" s="32">
        <f t="shared" si="15"/>
        <v>0</v>
      </c>
      <c r="F27" s="32">
        <f t="shared" si="15"/>
        <v>28689</v>
      </c>
      <c r="G27" s="32">
        <f t="shared" si="15"/>
        <v>29836.560000000001</v>
      </c>
      <c r="H27" s="32">
        <v>31030.022400000002</v>
      </c>
      <c r="I27" s="32">
        <f t="shared" si="15"/>
        <v>32271</v>
      </c>
      <c r="J27" s="32">
        <f>SUM(J28:J33)</f>
        <v>213561.84</v>
      </c>
      <c r="K27" s="32">
        <f t="shared" si="15"/>
        <v>222104.31359999999</v>
      </c>
      <c r="L27" s="32">
        <f t="shared" si="15"/>
        <v>230988.48614399999</v>
      </c>
      <c r="M27" s="32">
        <f t="shared" si="15"/>
        <v>37752.505589760003</v>
      </c>
      <c r="N27" s="32">
        <f t="shared" si="15"/>
        <v>39262.605813350398</v>
      </c>
      <c r="O27" s="32">
        <f t="shared" si="15"/>
        <v>40833.110045884423</v>
      </c>
      <c r="P27" s="32">
        <f t="shared" si="15"/>
        <v>42466.434447719803</v>
      </c>
      <c r="Q27" s="32">
        <f t="shared" ref="Q27:V27" si="16">SUM(Q28:Q32)</f>
        <v>44165.091825628595</v>
      </c>
      <c r="R27" s="32">
        <f t="shared" si="16"/>
        <v>45931.695498653738</v>
      </c>
      <c r="S27" s="32">
        <f t="shared" si="16"/>
        <v>47768.96331859989</v>
      </c>
      <c r="T27" s="32">
        <f t="shared" si="16"/>
        <v>49679.721851343886</v>
      </c>
      <c r="U27" s="32">
        <f t="shared" si="16"/>
        <v>51666.910725397647</v>
      </c>
      <c r="V27" s="32">
        <f t="shared" si="16"/>
        <v>53733.587154413559</v>
      </c>
      <c r="W27" s="32">
        <f>SUM(W28:W32)</f>
        <v>55882.930640590093</v>
      </c>
      <c r="X27" s="968"/>
      <c r="Z27" s="968"/>
      <c r="AA27" s="968"/>
      <c r="AB27" s="967"/>
      <c r="AC27" s="967"/>
      <c r="AD27" s="967"/>
      <c r="AE27" s="967"/>
      <c r="AF27" s="967"/>
      <c r="AG27" s="967"/>
      <c r="AH27" s="967"/>
      <c r="AI27" s="967"/>
      <c r="AJ27" s="967"/>
      <c r="AK27" s="967"/>
      <c r="AL27" s="971"/>
      <c r="AM27" s="967"/>
      <c r="AN27" s="967"/>
      <c r="AO27" s="967"/>
    </row>
    <row r="28" spans="1:41">
      <c r="A28" s="19" t="s">
        <v>837</v>
      </c>
      <c r="B28" s="1145" t="s">
        <v>896</v>
      </c>
      <c r="C28" s="6"/>
      <c r="D28" s="6"/>
      <c r="E28" s="6"/>
      <c r="F28" s="6">
        <v>9731</v>
      </c>
      <c r="G28" s="6">
        <f t="shared" ref="G28:P28" si="17">+F28*1.04</f>
        <v>10120.24</v>
      </c>
      <c r="H28" s="6">
        <v>10525.0496</v>
      </c>
      <c r="I28" s="6">
        <v>10946</v>
      </c>
      <c r="J28" s="6">
        <f>+I28*1.04</f>
        <v>11383.84</v>
      </c>
      <c r="K28" s="6">
        <f t="shared" si="17"/>
        <v>11839.193600000001</v>
      </c>
      <c r="L28" s="6">
        <f t="shared" si="17"/>
        <v>12312.761344</v>
      </c>
      <c r="M28" s="16">
        <f t="shared" si="17"/>
        <v>12805.27179776</v>
      </c>
      <c r="N28" s="6">
        <f t="shared" si="17"/>
        <v>13317.4826696704</v>
      </c>
      <c r="O28" s="6">
        <f t="shared" si="17"/>
        <v>13850.181976457217</v>
      </c>
      <c r="P28" s="6">
        <f t="shared" si="17"/>
        <v>14404.189255515506</v>
      </c>
      <c r="Q28" s="6">
        <f t="shared" ref="Q28:U34" si="18">+P28*1.04</f>
        <v>14980.356825736128</v>
      </c>
      <c r="R28" s="6">
        <f t="shared" si="18"/>
        <v>15579.571098765573</v>
      </c>
      <c r="S28" s="6">
        <f t="shared" si="18"/>
        <v>16202.753942716197</v>
      </c>
      <c r="T28" s="6">
        <f t="shared" si="18"/>
        <v>16850.864100424846</v>
      </c>
      <c r="U28" s="6">
        <f t="shared" si="18"/>
        <v>17524.89866444184</v>
      </c>
      <c r="V28" s="6">
        <f t="shared" ref="V28:W34" si="19">+U28*1.04</f>
        <v>18225.894611019514</v>
      </c>
      <c r="W28" s="6">
        <f t="shared" si="19"/>
        <v>18954.930395460295</v>
      </c>
      <c r="X28" s="968"/>
      <c r="Z28" s="968"/>
      <c r="AA28" s="968"/>
      <c r="AB28" s="967"/>
      <c r="AC28" s="967"/>
      <c r="AD28" s="967"/>
      <c r="AE28" s="967"/>
      <c r="AF28" s="967"/>
      <c r="AG28" s="967"/>
      <c r="AH28" s="967"/>
      <c r="AI28" s="967"/>
      <c r="AJ28" s="967"/>
      <c r="AK28" s="967"/>
      <c r="AL28" s="971"/>
      <c r="AM28" s="967"/>
      <c r="AN28" s="967"/>
      <c r="AO28" s="967"/>
    </row>
    <row r="29" spans="1:41">
      <c r="A29" s="19" t="s">
        <v>838</v>
      </c>
      <c r="B29" s="1145" t="s">
        <v>897</v>
      </c>
      <c r="C29" s="6"/>
      <c r="D29" s="6"/>
      <c r="E29" s="6"/>
      <c r="F29" s="6">
        <v>9490</v>
      </c>
      <c r="G29" s="6">
        <f t="shared" ref="G29:P29" si="20">+F29*1.04</f>
        <v>9869.6</v>
      </c>
      <c r="H29" s="6">
        <v>10264.384</v>
      </c>
      <c r="I29" s="6">
        <v>10675</v>
      </c>
      <c r="J29" s="6">
        <f>+I29*1.04</f>
        <v>11102</v>
      </c>
      <c r="K29" s="6">
        <f t="shared" si="20"/>
        <v>11546.08</v>
      </c>
      <c r="L29" s="6">
        <f t="shared" si="20"/>
        <v>12007.923200000001</v>
      </c>
      <c r="M29" s="16">
        <f t="shared" si="20"/>
        <v>12488.240128000001</v>
      </c>
      <c r="N29" s="6">
        <f t="shared" si="20"/>
        <v>12987.769733120002</v>
      </c>
      <c r="O29" s="6">
        <f t="shared" si="20"/>
        <v>13507.280522444802</v>
      </c>
      <c r="P29" s="6">
        <f t="shared" si="20"/>
        <v>14047.571743342594</v>
      </c>
      <c r="Q29" s="6">
        <f t="shared" si="18"/>
        <v>14609.474613076298</v>
      </c>
      <c r="R29" s="6">
        <f t="shared" si="18"/>
        <v>15193.853597599351</v>
      </c>
      <c r="S29" s="6">
        <f t="shared" si="18"/>
        <v>15801.607741503325</v>
      </c>
      <c r="T29" s="6">
        <f t="shared" si="18"/>
        <v>16433.672051163459</v>
      </c>
      <c r="U29" s="6">
        <f t="shared" si="18"/>
        <v>17091.018933209998</v>
      </c>
      <c r="V29" s="6">
        <f t="shared" si="19"/>
        <v>17774.659690538399</v>
      </c>
      <c r="W29" s="6">
        <f t="shared" si="19"/>
        <v>18485.646078159934</v>
      </c>
      <c r="X29" s="968"/>
      <c r="Z29" s="968"/>
      <c r="AA29" s="968"/>
      <c r="AB29" s="967"/>
      <c r="AC29" s="967"/>
      <c r="AD29" s="967"/>
      <c r="AE29" s="967"/>
      <c r="AF29" s="967"/>
      <c r="AG29" s="967"/>
      <c r="AH29" s="967"/>
      <c r="AI29" s="967"/>
      <c r="AJ29" s="967"/>
      <c r="AK29" s="967"/>
      <c r="AL29" s="971"/>
      <c r="AM29" s="967"/>
      <c r="AN29" s="967"/>
      <c r="AO29" s="967"/>
    </row>
    <row r="30" spans="1:41">
      <c r="A30" s="19" t="s">
        <v>839</v>
      </c>
      <c r="B30" s="1145" t="s">
        <v>840</v>
      </c>
      <c r="C30" s="6"/>
      <c r="D30" s="6"/>
      <c r="E30" s="6"/>
      <c r="F30" s="6">
        <v>9468</v>
      </c>
      <c r="G30" s="6">
        <f t="shared" ref="G30:P30" si="21">+F30*1.04</f>
        <v>9846.7200000000012</v>
      </c>
      <c r="H30" s="6">
        <v>10240.588800000001</v>
      </c>
      <c r="I30" s="6">
        <v>10650</v>
      </c>
      <c r="J30" s="6">
        <f t="shared" si="21"/>
        <v>11076</v>
      </c>
      <c r="K30" s="6">
        <f t="shared" si="21"/>
        <v>11519.04</v>
      </c>
      <c r="L30" s="6">
        <f t="shared" si="21"/>
        <v>11979.801600000001</v>
      </c>
      <c r="M30" s="16">
        <f t="shared" si="21"/>
        <v>12458.993664000001</v>
      </c>
      <c r="N30" s="6">
        <f t="shared" si="21"/>
        <v>12957.353410560001</v>
      </c>
      <c r="O30" s="6">
        <f t="shared" si="21"/>
        <v>13475.647546982402</v>
      </c>
      <c r="P30" s="6">
        <f t="shared" si="21"/>
        <v>14014.673448861698</v>
      </c>
      <c r="Q30" s="6">
        <f t="shared" si="18"/>
        <v>14575.260386816168</v>
      </c>
      <c r="R30" s="6">
        <f t="shared" si="18"/>
        <v>15158.270802288815</v>
      </c>
      <c r="S30" s="6">
        <f t="shared" si="18"/>
        <v>15764.601634380368</v>
      </c>
      <c r="T30" s="6">
        <f t="shared" si="18"/>
        <v>16395.185699755584</v>
      </c>
      <c r="U30" s="6">
        <f t="shared" si="18"/>
        <v>17050.993127745809</v>
      </c>
      <c r="V30" s="6">
        <f t="shared" si="19"/>
        <v>17733.032852855642</v>
      </c>
      <c r="W30" s="6">
        <f t="shared" si="19"/>
        <v>18442.354166969868</v>
      </c>
      <c r="X30" s="968"/>
      <c r="Z30" s="968"/>
      <c r="AA30" s="968"/>
      <c r="AB30" s="967"/>
      <c r="AC30" s="967"/>
      <c r="AD30" s="967"/>
      <c r="AE30" s="967"/>
      <c r="AF30" s="967"/>
      <c r="AG30" s="967"/>
      <c r="AH30" s="967"/>
      <c r="AI30" s="967"/>
      <c r="AJ30" s="967"/>
      <c r="AK30" s="967"/>
      <c r="AL30" s="971"/>
      <c r="AM30" s="967"/>
      <c r="AN30" s="967"/>
      <c r="AO30" s="967"/>
    </row>
    <row r="31" spans="1:41" hidden="1">
      <c r="A31" s="19" t="s">
        <v>841</v>
      </c>
      <c r="B31" s="1145" t="s">
        <v>1292</v>
      </c>
      <c r="C31" s="6"/>
      <c r="D31" s="6"/>
      <c r="E31" s="6"/>
      <c r="F31" s="6">
        <v>0</v>
      </c>
      <c r="G31" s="6">
        <f t="shared" ref="G31:P31" si="22">+F31*1.04</f>
        <v>0</v>
      </c>
      <c r="H31" s="6">
        <v>0</v>
      </c>
      <c r="I31" s="6">
        <f t="shared" si="22"/>
        <v>0</v>
      </c>
      <c r="J31" s="6">
        <v>80000</v>
      </c>
      <c r="K31" s="6">
        <f t="shared" si="22"/>
        <v>83200</v>
      </c>
      <c r="L31" s="6">
        <f t="shared" si="22"/>
        <v>86528</v>
      </c>
      <c r="M31" s="16">
        <v>0</v>
      </c>
      <c r="N31" s="6">
        <f t="shared" si="22"/>
        <v>0</v>
      </c>
      <c r="O31" s="6">
        <f t="shared" si="22"/>
        <v>0</v>
      </c>
      <c r="P31" s="6">
        <f t="shared" si="22"/>
        <v>0</v>
      </c>
      <c r="Q31" s="6">
        <f t="shared" si="18"/>
        <v>0</v>
      </c>
      <c r="R31" s="6">
        <f t="shared" si="18"/>
        <v>0</v>
      </c>
      <c r="S31" s="6">
        <f t="shared" si="18"/>
        <v>0</v>
      </c>
      <c r="T31" s="6">
        <f t="shared" si="18"/>
        <v>0</v>
      </c>
      <c r="U31" s="6">
        <f t="shared" si="18"/>
        <v>0</v>
      </c>
      <c r="V31" s="6">
        <f t="shared" si="19"/>
        <v>0</v>
      </c>
      <c r="W31" s="6">
        <f t="shared" si="19"/>
        <v>0</v>
      </c>
      <c r="X31" s="968"/>
      <c r="Z31" s="968"/>
      <c r="AA31" s="968"/>
      <c r="AB31" s="967"/>
      <c r="AC31" s="967"/>
      <c r="AD31" s="967"/>
      <c r="AE31" s="967"/>
      <c r="AF31" s="967"/>
      <c r="AG31" s="967"/>
      <c r="AH31" s="967"/>
      <c r="AI31" s="967"/>
      <c r="AJ31" s="967"/>
      <c r="AK31" s="967"/>
      <c r="AL31" s="971"/>
      <c r="AM31" s="967"/>
      <c r="AN31" s="967"/>
      <c r="AO31" s="967"/>
    </row>
    <row r="32" spans="1:41" hidden="1">
      <c r="A32" s="19" t="s">
        <v>843</v>
      </c>
      <c r="B32" s="1145" t="s">
        <v>1293</v>
      </c>
      <c r="C32" s="6"/>
      <c r="D32" s="6"/>
      <c r="E32" s="6"/>
      <c r="F32" s="6">
        <v>0</v>
      </c>
      <c r="G32" s="6">
        <f t="shared" ref="G32:P32" si="23">+F32*1.04</f>
        <v>0</v>
      </c>
      <c r="H32" s="6">
        <v>0</v>
      </c>
      <c r="I32" s="6">
        <f t="shared" si="23"/>
        <v>0</v>
      </c>
      <c r="J32" s="6">
        <v>100000</v>
      </c>
      <c r="K32" s="6">
        <f t="shared" si="23"/>
        <v>104000</v>
      </c>
      <c r="L32" s="6">
        <f t="shared" si="23"/>
        <v>108160</v>
      </c>
      <c r="M32" s="16">
        <v>0</v>
      </c>
      <c r="N32" s="6">
        <f t="shared" si="23"/>
        <v>0</v>
      </c>
      <c r="O32" s="6">
        <f t="shared" si="23"/>
        <v>0</v>
      </c>
      <c r="P32" s="6">
        <f t="shared" si="23"/>
        <v>0</v>
      </c>
      <c r="Q32" s="6">
        <f t="shared" si="18"/>
        <v>0</v>
      </c>
      <c r="R32" s="6">
        <f t="shared" si="18"/>
        <v>0</v>
      </c>
      <c r="S32" s="6">
        <f t="shared" si="18"/>
        <v>0</v>
      </c>
      <c r="T32" s="6">
        <f t="shared" si="18"/>
        <v>0</v>
      </c>
      <c r="U32" s="6">
        <f t="shared" si="18"/>
        <v>0</v>
      </c>
      <c r="V32" s="6">
        <f t="shared" si="19"/>
        <v>0</v>
      </c>
      <c r="W32" s="6">
        <f t="shared" si="19"/>
        <v>0</v>
      </c>
      <c r="X32" s="968"/>
      <c r="Z32" s="968"/>
      <c r="AA32" s="968"/>
      <c r="AB32" s="967"/>
      <c r="AC32" s="967"/>
      <c r="AD32" s="967"/>
      <c r="AE32" s="967"/>
      <c r="AF32" s="967"/>
      <c r="AG32" s="967"/>
      <c r="AH32" s="967"/>
      <c r="AI32" s="967"/>
      <c r="AJ32" s="967"/>
      <c r="AK32" s="967"/>
      <c r="AL32" s="971"/>
      <c r="AM32" s="967"/>
      <c r="AN32" s="967"/>
      <c r="AO32" s="967"/>
    </row>
    <row r="33" spans="1:41" hidden="1">
      <c r="A33" s="19" t="s">
        <v>845</v>
      </c>
      <c r="B33" s="1145" t="s">
        <v>846</v>
      </c>
      <c r="C33" s="6"/>
      <c r="D33" s="6"/>
      <c r="E33" s="6"/>
      <c r="F33" s="6">
        <v>0</v>
      </c>
      <c r="G33" s="6">
        <f t="shared" ref="G33:P33" si="24">+F33*1.04</f>
        <v>0</v>
      </c>
      <c r="H33" s="6">
        <v>0</v>
      </c>
      <c r="I33" s="6">
        <f t="shared" si="24"/>
        <v>0</v>
      </c>
      <c r="J33" s="6">
        <f t="shared" si="24"/>
        <v>0</v>
      </c>
      <c r="K33" s="6">
        <f t="shared" si="24"/>
        <v>0</v>
      </c>
      <c r="L33" s="6">
        <f t="shared" si="24"/>
        <v>0</v>
      </c>
      <c r="M33" s="16">
        <f t="shared" si="24"/>
        <v>0</v>
      </c>
      <c r="N33" s="6">
        <f t="shared" si="24"/>
        <v>0</v>
      </c>
      <c r="O33" s="6">
        <f t="shared" si="24"/>
        <v>0</v>
      </c>
      <c r="P33" s="6">
        <f t="shared" si="24"/>
        <v>0</v>
      </c>
      <c r="Q33" s="6">
        <f t="shared" si="18"/>
        <v>0</v>
      </c>
      <c r="R33" s="6">
        <f t="shared" si="18"/>
        <v>0</v>
      </c>
      <c r="S33" s="6">
        <f t="shared" si="18"/>
        <v>0</v>
      </c>
      <c r="T33" s="6">
        <f t="shared" si="18"/>
        <v>0</v>
      </c>
      <c r="U33" s="6">
        <f t="shared" si="18"/>
        <v>0</v>
      </c>
      <c r="V33" s="6">
        <f t="shared" si="19"/>
        <v>0</v>
      </c>
      <c r="W33" s="6">
        <f t="shared" si="19"/>
        <v>0</v>
      </c>
      <c r="X33" s="968"/>
      <c r="Z33" s="968"/>
      <c r="AA33" s="968"/>
      <c r="AB33" s="967"/>
      <c r="AC33" s="967"/>
      <c r="AD33" s="967"/>
      <c r="AE33" s="967"/>
      <c r="AF33" s="967"/>
      <c r="AG33" s="967"/>
      <c r="AH33" s="967"/>
      <c r="AI33" s="967"/>
      <c r="AJ33" s="967"/>
      <c r="AK33" s="967"/>
      <c r="AL33" s="971"/>
      <c r="AM33" s="967"/>
      <c r="AN33" s="967"/>
      <c r="AO33" s="967"/>
    </row>
    <row r="34" spans="1:41" hidden="1">
      <c r="A34" s="17" t="s">
        <v>847</v>
      </c>
      <c r="B34" s="1108" t="s">
        <v>848</v>
      </c>
      <c r="C34" s="6"/>
      <c r="D34" s="6"/>
      <c r="E34" s="6"/>
      <c r="F34" s="6">
        <v>0</v>
      </c>
      <c r="G34" s="6">
        <f t="shared" ref="G34:P34" si="25">+F34*1.04</f>
        <v>0</v>
      </c>
      <c r="H34" s="6">
        <v>0</v>
      </c>
      <c r="I34" s="6">
        <f t="shared" si="25"/>
        <v>0</v>
      </c>
      <c r="J34" s="6">
        <f t="shared" si="25"/>
        <v>0</v>
      </c>
      <c r="K34" s="6">
        <f t="shared" si="25"/>
        <v>0</v>
      </c>
      <c r="L34" s="6">
        <f t="shared" si="25"/>
        <v>0</v>
      </c>
      <c r="M34" s="16">
        <f t="shared" si="25"/>
        <v>0</v>
      </c>
      <c r="N34" s="6">
        <f t="shared" si="25"/>
        <v>0</v>
      </c>
      <c r="O34" s="6">
        <f t="shared" si="25"/>
        <v>0</v>
      </c>
      <c r="P34" s="6">
        <f t="shared" si="25"/>
        <v>0</v>
      </c>
      <c r="Q34" s="6">
        <f t="shared" si="18"/>
        <v>0</v>
      </c>
      <c r="R34" s="6">
        <f t="shared" si="18"/>
        <v>0</v>
      </c>
      <c r="S34" s="6">
        <f t="shared" si="18"/>
        <v>0</v>
      </c>
      <c r="T34" s="6">
        <f t="shared" si="18"/>
        <v>0</v>
      </c>
      <c r="U34" s="6">
        <f t="shared" si="18"/>
        <v>0</v>
      </c>
      <c r="V34" s="6">
        <f t="shared" si="19"/>
        <v>0</v>
      </c>
      <c r="W34" s="6">
        <f t="shared" si="19"/>
        <v>0</v>
      </c>
      <c r="X34" s="968"/>
      <c r="Z34" s="968"/>
      <c r="AA34" s="968"/>
      <c r="AB34" s="967"/>
      <c r="AC34" s="967"/>
      <c r="AD34" s="967"/>
      <c r="AE34" s="967"/>
      <c r="AF34" s="967"/>
      <c r="AG34" s="967"/>
      <c r="AH34" s="967"/>
      <c r="AI34" s="967"/>
      <c r="AJ34" s="967"/>
      <c r="AK34" s="967"/>
      <c r="AL34" s="971"/>
      <c r="AM34" s="967"/>
      <c r="AN34" s="967"/>
      <c r="AO34" s="967"/>
    </row>
    <row r="35" spans="1:41">
      <c r="A35" s="17" t="s">
        <v>849</v>
      </c>
      <c r="B35" s="1108" t="s">
        <v>851</v>
      </c>
      <c r="C35" s="32">
        <f t="shared" ref="C35:P35" si="26">SUM(C36:C39)+C42+C78+C74</f>
        <v>0</v>
      </c>
      <c r="D35" s="32">
        <f t="shared" si="26"/>
        <v>0</v>
      </c>
      <c r="E35" s="32">
        <f t="shared" si="26"/>
        <v>0</v>
      </c>
      <c r="F35" s="32">
        <f t="shared" si="26"/>
        <v>6502952</v>
      </c>
      <c r="G35" s="32">
        <f t="shared" si="26"/>
        <v>6025041.3600000003</v>
      </c>
      <c r="H35" s="32">
        <v>5169193.32</v>
      </c>
      <c r="I35" s="32">
        <f t="shared" si="26"/>
        <v>5528220</v>
      </c>
      <c r="J35" s="32">
        <f t="shared" si="26"/>
        <v>5266152.08</v>
      </c>
      <c r="K35" s="32">
        <f t="shared" si="26"/>
        <v>5476798.1631999994</v>
      </c>
      <c r="L35" s="32">
        <f t="shared" si="26"/>
        <v>5695870.0897279996</v>
      </c>
      <c r="M35" s="32">
        <f t="shared" si="26"/>
        <v>6162179.7326131212</v>
      </c>
      <c r="N35" s="32">
        <f t="shared" si="26"/>
        <v>6408666.9219176453</v>
      </c>
      <c r="O35" s="32">
        <f t="shared" si="26"/>
        <v>6665013.5987943523</v>
      </c>
      <c r="P35" s="32">
        <f t="shared" si="26"/>
        <v>6931614.1427461253</v>
      </c>
      <c r="Q35" s="32">
        <f t="shared" ref="Q35:V35" si="27">SUM(Q36:Q39)+Q42+Q78+Q74</f>
        <v>7208878.7084559714</v>
      </c>
      <c r="R35" s="32">
        <f t="shared" si="27"/>
        <v>7497233.8567942102</v>
      </c>
      <c r="S35" s="32">
        <f t="shared" si="27"/>
        <v>7797123.2110659778</v>
      </c>
      <c r="T35" s="32">
        <f t="shared" si="27"/>
        <v>8109008.1395086162</v>
      </c>
      <c r="U35" s="32">
        <f t="shared" si="27"/>
        <v>8433368.4650889616</v>
      </c>
      <c r="V35" s="32">
        <f t="shared" si="27"/>
        <v>8770703.20369252</v>
      </c>
      <c r="W35" s="32">
        <f>SUM(W36:W39)+W42+W78+W74</f>
        <v>9121531.3318402227</v>
      </c>
      <c r="X35" s="968"/>
      <c r="Z35" s="968"/>
      <c r="AA35" s="968"/>
      <c r="AB35" s="967"/>
      <c r="AC35" s="967"/>
      <c r="AD35" s="967"/>
      <c r="AE35" s="967"/>
      <c r="AF35" s="967"/>
      <c r="AG35" s="967"/>
      <c r="AH35" s="967"/>
      <c r="AI35" s="967"/>
      <c r="AJ35" s="967"/>
      <c r="AK35" s="967"/>
      <c r="AL35" s="971"/>
      <c r="AM35" s="967"/>
      <c r="AN35" s="967"/>
      <c r="AO35" s="967"/>
    </row>
    <row r="36" spans="1:41">
      <c r="A36" s="18" t="s">
        <v>852</v>
      </c>
      <c r="B36" s="1145" t="s">
        <v>853</v>
      </c>
      <c r="C36" s="6"/>
      <c r="D36" s="6"/>
      <c r="E36" s="6"/>
      <c r="F36" s="6">
        <v>60700</v>
      </c>
      <c r="G36" s="6">
        <f t="shared" ref="G36:P36" si="28">+F36*1.04</f>
        <v>63128</v>
      </c>
      <c r="H36" s="6">
        <v>65653.119999999995</v>
      </c>
      <c r="I36" s="6">
        <v>68279</v>
      </c>
      <c r="J36" s="6">
        <f>+I36*1.04-46795</f>
        <v>24215.160000000003</v>
      </c>
      <c r="K36" s="6">
        <f t="shared" si="28"/>
        <v>25183.766400000004</v>
      </c>
      <c r="L36" s="6">
        <f t="shared" si="28"/>
        <v>26191.117056000006</v>
      </c>
      <c r="M36" s="16">
        <f t="shared" si="28"/>
        <v>27238.761738240006</v>
      </c>
      <c r="N36" s="6">
        <f t="shared" si="28"/>
        <v>28328.312207769606</v>
      </c>
      <c r="O36" s="6">
        <f t="shared" si="28"/>
        <v>29461.444696080391</v>
      </c>
      <c r="P36" s="6">
        <f t="shared" si="28"/>
        <v>30639.902483923608</v>
      </c>
      <c r="Q36" s="6">
        <f t="shared" ref="Q36:U38" si="29">+P36*1.04</f>
        <v>31865.498583280554</v>
      </c>
      <c r="R36" s="6">
        <f t="shared" si="29"/>
        <v>33140.118526611775</v>
      </c>
      <c r="S36" s="6">
        <f t="shared" si="29"/>
        <v>34465.723267676251</v>
      </c>
      <c r="T36" s="6">
        <f t="shared" si="29"/>
        <v>35844.352198383305</v>
      </c>
      <c r="U36" s="6">
        <f t="shared" si="29"/>
        <v>37278.126286318642</v>
      </c>
      <c r="V36" s="6">
        <f t="shared" ref="V36:W38" si="30">+U36*1.04</f>
        <v>38769.251337771391</v>
      </c>
      <c r="W36" s="6">
        <f t="shared" si="30"/>
        <v>40320.021391282251</v>
      </c>
      <c r="X36" s="968"/>
      <c r="Z36" s="968"/>
      <c r="AA36" s="968"/>
      <c r="AB36" s="967"/>
      <c r="AC36" s="967"/>
      <c r="AD36" s="967"/>
      <c r="AE36" s="967"/>
      <c r="AF36" s="967"/>
      <c r="AG36" s="967"/>
      <c r="AH36" s="967"/>
      <c r="AI36" s="967"/>
      <c r="AJ36" s="967"/>
      <c r="AK36" s="967"/>
      <c r="AL36" s="971"/>
      <c r="AM36" s="967"/>
      <c r="AN36" s="967"/>
      <c r="AO36" s="967"/>
    </row>
    <row r="37" spans="1:41">
      <c r="A37" s="18" t="s">
        <v>854</v>
      </c>
      <c r="B37" s="1145" t="s">
        <v>903</v>
      </c>
      <c r="C37" s="6"/>
      <c r="D37" s="6"/>
      <c r="E37" s="6"/>
      <c r="F37" s="6">
        <v>5000</v>
      </c>
      <c r="G37" s="6">
        <f t="shared" ref="G37:P37" si="31">+F37*1.04</f>
        <v>5200</v>
      </c>
      <c r="H37" s="6">
        <v>5408</v>
      </c>
      <c r="I37" s="6">
        <v>5624</v>
      </c>
      <c r="J37" s="6">
        <f>+I37*1.04</f>
        <v>5848.96</v>
      </c>
      <c r="K37" s="6">
        <f t="shared" si="31"/>
        <v>6082.9184000000005</v>
      </c>
      <c r="L37" s="6">
        <f t="shared" si="31"/>
        <v>6326.2351360000011</v>
      </c>
      <c r="M37" s="16">
        <f t="shared" si="31"/>
        <v>6579.2845414400017</v>
      </c>
      <c r="N37" s="6">
        <f t="shared" si="31"/>
        <v>6842.455923097602</v>
      </c>
      <c r="O37" s="6">
        <f t="shared" si="31"/>
        <v>7116.154160021506</v>
      </c>
      <c r="P37" s="6">
        <f t="shared" si="31"/>
        <v>7400.8003264223662</v>
      </c>
      <c r="Q37" s="6">
        <f t="shared" si="29"/>
        <v>7696.8323394792615</v>
      </c>
      <c r="R37" s="6">
        <f t="shared" si="29"/>
        <v>8004.7056330584319</v>
      </c>
      <c r="S37" s="6">
        <f t="shared" si="29"/>
        <v>8324.8938583807703</v>
      </c>
      <c r="T37" s="6">
        <f t="shared" si="29"/>
        <v>8657.8896127160006</v>
      </c>
      <c r="U37" s="6">
        <f t="shared" si="29"/>
        <v>9004.2051972246409</v>
      </c>
      <c r="V37" s="6">
        <f t="shared" si="30"/>
        <v>9364.3734051136271</v>
      </c>
      <c r="W37" s="6">
        <f t="shared" si="30"/>
        <v>9738.9483413181733</v>
      </c>
      <c r="X37" s="968"/>
      <c r="Z37" s="968"/>
      <c r="AA37" s="968"/>
      <c r="AB37" s="967"/>
      <c r="AC37" s="967"/>
      <c r="AD37" s="967"/>
      <c r="AE37" s="967"/>
      <c r="AF37" s="967"/>
      <c r="AG37" s="967"/>
      <c r="AH37" s="967"/>
      <c r="AI37" s="967"/>
      <c r="AJ37" s="967"/>
      <c r="AK37" s="967"/>
      <c r="AL37" s="971"/>
      <c r="AM37" s="967"/>
      <c r="AN37" s="967"/>
      <c r="AO37" s="967"/>
    </row>
    <row r="38" spans="1:41" ht="12.75" hidden="1" customHeight="1">
      <c r="A38" s="18" t="s">
        <v>855</v>
      </c>
      <c r="B38" s="1145" t="s">
        <v>856</v>
      </c>
      <c r="C38" s="6"/>
      <c r="D38" s="6"/>
      <c r="E38" s="6"/>
      <c r="F38" s="6">
        <v>0</v>
      </c>
      <c r="G38" s="6">
        <f t="shared" ref="G38:P38" si="32">+F38*1.04</f>
        <v>0</v>
      </c>
      <c r="H38" s="6">
        <v>0</v>
      </c>
      <c r="I38" s="6">
        <f t="shared" si="32"/>
        <v>0</v>
      </c>
      <c r="J38" s="6">
        <f t="shared" si="32"/>
        <v>0</v>
      </c>
      <c r="K38" s="6">
        <f t="shared" si="32"/>
        <v>0</v>
      </c>
      <c r="L38" s="6">
        <f t="shared" si="32"/>
        <v>0</v>
      </c>
      <c r="M38" s="16">
        <f t="shared" si="32"/>
        <v>0</v>
      </c>
      <c r="N38" s="6">
        <f t="shared" si="32"/>
        <v>0</v>
      </c>
      <c r="O38" s="6">
        <f t="shared" si="32"/>
        <v>0</v>
      </c>
      <c r="P38" s="6">
        <f t="shared" si="32"/>
        <v>0</v>
      </c>
      <c r="Q38" s="6">
        <f t="shared" si="29"/>
        <v>0</v>
      </c>
      <c r="R38" s="6">
        <f t="shared" si="29"/>
        <v>0</v>
      </c>
      <c r="S38" s="6">
        <f t="shared" si="29"/>
        <v>0</v>
      </c>
      <c r="T38" s="6">
        <f t="shared" si="29"/>
        <v>0</v>
      </c>
      <c r="U38" s="6">
        <f t="shared" si="29"/>
        <v>0</v>
      </c>
      <c r="V38" s="6">
        <f t="shared" si="30"/>
        <v>0</v>
      </c>
      <c r="W38" s="6">
        <f t="shared" si="30"/>
        <v>0</v>
      </c>
      <c r="X38" s="968"/>
      <c r="Z38" s="968"/>
      <c r="AA38" s="968"/>
      <c r="AB38" s="967"/>
      <c r="AC38" s="967"/>
      <c r="AD38" s="967"/>
      <c r="AE38" s="967"/>
      <c r="AF38" s="967"/>
      <c r="AG38" s="967"/>
      <c r="AH38" s="967"/>
      <c r="AI38" s="967"/>
      <c r="AJ38" s="967"/>
      <c r="AK38" s="967"/>
      <c r="AL38" s="971"/>
      <c r="AM38" s="967"/>
      <c r="AN38" s="967"/>
      <c r="AO38" s="967"/>
    </row>
    <row r="39" spans="1:41" ht="12.75" hidden="1" customHeight="1">
      <c r="A39" s="18" t="s">
        <v>857</v>
      </c>
      <c r="B39" s="1145" t="s">
        <v>858</v>
      </c>
      <c r="C39" s="32">
        <f>SUM(C40:C41)</f>
        <v>0</v>
      </c>
      <c r="D39" s="32">
        <f t="shared" ref="D39:P39" si="33">SUM(D40:D41)</f>
        <v>0</v>
      </c>
      <c r="E39" s="32">
        <f t="shared" si="33"/>
        <v>0</v>
      </c>
      <c r="F39" s="32">
        <f t="shared" si="33"/>
        <v>0</v>
      </c>
      <c r="G39" s="32">
        <f t="shared" si="33"/>
        <v>0</v>
      </c>
      <c r="H39" s="32">
        <v>0</v>
      </c>
      <c r="I39" s="32">
        <f t="shared" si="33"/>
        <v>0</v>
      </c>
      <c r="J39" s="32">
        <f t="shared" si="33"/>
        <v>0</v>
      </c>
      <c r="K39" s="32">
        <f t="shared" si="33"/>
        <v>0</v>
      </c>
      <c r="L39" s="32">
        <f t="shared" si="33"/>
        <v>0</v>
      </c>
      <c r="M39" s="32">
        <f t="shared" si="33"/>
        <v>0</v>
      </c>
      <c r="N39" s="32">
        <f t="shared" si="33"/>
        <v>0</v>
      </c>
      <c r="O39" s="32">
        <f t="shared" si="33"/>
        <v>0</v>
      </c>
      <c r="P39" s="32">
        <f t="shared" si="33"/>
        <v>0</v>
      </c>
      <c r="Q39" s="32">
        <f t="shared" ref="Q39:V39" si="34">SUM(Q40:Q41)</f>
        <v>0</v>
      </c>
      <c r="R39" s="32">
        <f t="shared" si="34"/>
        <v>0</v>
      </c>
      <c r="S39" s="32">
        <f t="shared" si="34"/>
        <v>0</v>
      </c>
      <c r="T39" s="32">
        <f t="shared" si="34"/>
        <v>0</v>
      </c>
      <c r="U39" s="32">
        <f t="shared" si="34"/>
        <v>0</v>
      </c>
      <c r="V39" s="32">
        <f t="shared" si="34"/>
        <v>0</v>
      </c>
      <c r="W39" s="32">
        <f>SUM(W40:W41)</f>
        <v>0</v>
      </c>
      <c r="X39" s="968"/>
      <c r="Z39" s="968"/>
      <c r="AA39" s="968"/>
      <c r="AB39" s="967"/>
      <c r="AC39" s="967"/>
      <c r="AD39" s="967"/>
      <c r="AE39" s="967"/>
      <c r="AF39" s="967"/>
      <c r="AG39" s="967"/>
      <c r="AH39" s="967"/>
      <c r="AI39" s="967"/>
      <c r="AJ39" s="967"/>
      <c r="AK39" s="967"/>
      <c r="AL39" s="971"/>
      <c r="AM39" s="967"/>
      <c r="AN39" s="967"/>
      <c r="AO39" s="967"/>
    </row>
    <row r="40" spans="1:41" ht="12.75" hidden="1" customHeight="1">
      <c r="A40" s="18" t="s">
        <v>859</v>
      </c>
      <c r="B40" s="1145" t="s">
        <v>860</v>
      </c>
      <c r="C40" s="6"/>
      <c r="D40" s="6"/>
      <c r="E40" s="6"/>
      <c r="F40" s="6">
        <v>0</v>
      </c>
      <c r="G40" s="6">
        <f t="shared" ref="G40:P40" si="35">+F40*1.04</f>
        <v>0</v>
      </c>
      <c r="H40" s="6">
        <v>0</v>
      </c>
      <c r="I40" s="6">
        <f t="shared" si="35"/>
        <v>0</v>
      </c>
      <c r="J40" s="6">
        <f t="shared" si="35"/>
        <v>0</v>
      </c>
      <c r="K40" s="6">
        <f t="shared" si="35"/>
        <v>0</v>
      </c>
      <c r="L40" s="6">
        <f t="shared" si="35"/>
        <v>0</v>
      </c>
      <c r="M40" s="16">
        <f t="shared" si="35"/>
        <v>0</v>
      </c>
      <c r="N40" s="6">
        <f t="shared" si="35"/>
        <v>0</v>
      </c>
      <c r="O40" s="6">
        <f t="shared" si="35"/>
        <v>0</v>
      </c>
      <c r="P40" s="6">
        <f t="shared" si="35"/>
        <v>0</v>
      </c>
      <c r="Q40" s="6">
        <f t="shared" ref="Q40:U41" si="36">+P40*1.04</f>
        <v>0</v>
      </c>
      <c r="R40" s="6">
        <f t="shared" si="36"/>
        <v>0</v>
      </c>
      <c r="S40" s="6">
        <f t="shared" si="36"/>
        <v>0</v>
      </c>
      <c r="T40" s="6">
        <f t="shared" si="36"/>
        <v>0</v>
      </c>
      <c r="U40" s="6">
        <f t="shared" si="36"/>
        <v>0</v>
      </c>
      <c r="V40" s="6">
        <f>+U40*1.04</f>
        <v>0</v>
      </c>
      <c r="W40" s="6">
        <f>+V40*1.04</f>
        <v>0</v>
      </c>
      <c r="X40" s="968"/>
      <c r="Z40" s="968"/>
      <c r="AA40" s="968"/>
      <c r="AB40" s="967"/>
      <c r="AC40" s="967"/>
      <c r="AD40" s="967"/>
      <c r="AE40" s="967"/>
      <c r="AF40" s="967"/>
      <c r="AG40" s="967"/>
      <c r="AH40" s="967"/>
      <c r="AI40" s="967"/>
      <c r="AJ40" s="967"/>
      <c r="AK40" s="967"/>
      <c r="AL40" s="971"/>
      <c r="AM40" s="967"/>
      <c r="AN40" s="967"/>
      <c r="AO40" s="967"/>
    </row>
    <row r="41" spans="1:41" ht="12.75" hidden="1" customHeight="1">
      <c r="A41" s="18" t="s">
        <v>861</v>
      </c>
      <c r="B41" s="1145" t="s">
        <v>862</v>
      </c>
      <c r="C41" s="6"/>
      <c r="D41" s="6"/>
      <c r="E41" s="6"/>
      <c r="F41" s="6">
        <v>0</v>
      </c>
      <c r="G41" s="6">
        <f t="shared" ref="G41:P41" si="37">+F41*1.04</f>
        <v>0</v>
      </c>
      <c r="H41" s="6">
        <v>0</v>
      </c>
      <c r="I41" s="6">
        <f t="shared" si="37"/>
        <v>0</v>
      </c>
      <c r="J41" s="6">
        <f t="shared" si="37"/>
        <v>0</v>
      </c>
      <c r="K41" s="6">
        <f t="shared" si="37"/>
        <v>0</v>
      </c>
      <c r="L41" s="6">
        <f t="shared" si="37"/>
        <v>0</v>
      </c>
      <c r="M41" s="16">
        <f t="shared" si="37"/>
        <v>0</v>
      </c>
      <c r="N41" s="6">
        <f t="shared" si="37"/>
        <v>0</v>
      </c>
      <c r="O41" s="6">
        <f t="shared" si="37"/>
        <v>0</v>
      </c>
      <c r="P41" s="6">
        <f t="shared" si="37"/>
        <v>0</v>
      </c>
      <c r="Q41" s="6">
        <f t="shared" si="36"/>
        <v>0</v>
      </c>
      <c r="R41" s="6">
        <f t="shared" si="36"/>
        <v>0</v>
      </c>
      <c r="S41" s="6">
        <f t="shared" si="36"/>
        <v>0</v>
      </c>
      <c r="T41" s="6">
        <f t="shared" si="36"/>
        <v>0</v>
      </c>
      <c r="U41" s="6">
        <f t="shared" si="36"/>
        <v>0</v>
      </c>
      <c r="V41" s="6">
        <f>+U41*1.04</f>
        <v>0</v>
      </c>
      <c r="W41" s="6">
        <f>+V41*1.04</f>
        <v>0</v>
      </c>
      <c r="X41" s="968"/>
      <c r="Z41" s="968"/>
      <c r="AA41" s="968"/>
      <c r="AB41" s="967"/>
      <c r="AC41" s="967"/>
      <c r="AD41" s="967"/>
      <c r="AE41" s="967"/>
      <c r="AF41" s="967"/>
      <c r="AG41" s="967"/>
      <c r="AH41" s="967"/>
      <c r="AI41" s="967"/>
      <c r="AJ41" s="967"/>
      <c r="AK41" s="967"/>
      <c r="AL41" s="971"/>
      <c r="AM41" s="967"/>
      <c r="AN41" s="967"/>
      <c r="AO41" s="967"/>
    </row>
    <row r="42" spans="1:41">
      <c r="A42" s="17" t="s">
        <v>863</v>
      </c>
      <c r="B42" s="1108" t="s">
        <v>864</v>
      </c>
      <c r="C42" s="32">
        <f t="shared" ref="C42:P42" si="38">+C46+C43+C66+C70</f>
        <v>0</v>
      </c>
      <c r="D42" s="32">
        <f t="shared" si="38"/>
        <v>0</v>
      </c>
      <c r="E42" s="32">
        <f t="shared" si="38"/>
        <v>0</v>
      </c>
      <c r="F42" s="32">
        <f t="shared" si="38"/>
        <v>5727609</v>
      </c>
      <c r="G42" s="32">
        <f t="shared" si="38"/>
        <v>5956713.3600000003</v>
      </c>
      <c r="H42" s="32">
        <v>5098132.2</v>
      </c>
      <c r="I42" s="32">
        <f t="shared" si="38"/>
        <v>5454317</v>
      </c>
      <c r="J42" s="32">
        <f t="shared" si="38"/>
        <v>5236087.96</v>
      </c>
      <c r="K42" s="32">
        <f t="shared" si="38"/>
        <v>5445531.4783999994</v>
      </c>
      <c r="L42" s="32">
        <f t="shared" si="38"/>
        <v>5663352.7375360001</v>
      </c>
      <c r="M42" s="32">
        <f t="shared" si="38"/>
        <v>5925886.6863334412</v>
      </c>
      <c r="N42" s="32">
        <f t="shared" si="38"/>
        <v>6162922.1537867785</v>
      </c>
      <c r="O42" s="32">
        <f t="shared" si="38"/>
        <v>6409439.0399382506</v>
      </c>
      <c r="P42" s="32">
        <f t="shared" si="38"/>
        <v>6665816.6015357794</v>
      </c>
      <c r="Q42" s="32">
        <f t="shared" ref="Q42:V42" si="39">+Q46+Q43+Q66+Q70</f>
        <v>6932449.2655972112</v>
      </c>
      <c r="R42" s="32">
        <f t="shared" si="39"/>
        <v>7209747.2362210993</v>
      </c>
      <c r="S42" s="32">
        <f t="shared" si="39"/>
        <v>7498137.1256699432</v>
      </c>
      <c r="T42" s="32">
        <f t="shared" si="39"/>
        <v>7798062.6106967404</v>
      </c>
      <c r="U42" s="32">
        <f t="shared" si="39"/>
        <v>8109985.1151246112</v>
      </c>
      <c r="V42" s="32">
        <f t="shared" si="39"/>
        <v>8434384.5197295956</v>
      </c>
      <c r="W42" s="32">
        <f>+W46+W43+W66+W70</f>
        <v>8771759.9005187806</v>
      </c>
      <c r="X42" s="968"/>
      <c r="Z42" s="968"/>
      <c r="AA42" s="968"/>
      <c r="AB42" s="967"/>
      <c r="AC42" s="967"/>
      <c r="AD42" s="967"/>
      <c r="AE42" s="967"/>
      <c r="AF42" s="967"/>
      <c r="AG42" s="967"/>
      <c r="AH42" s="967"/>
      <c r="AI42" s="967"/>
      <c r="AJ42" s="967"/>
      <c r="AK42" s="967"/>
      <c r="AL42" s="971"/>
      <c r="AM42" s="967"/>
      <c r="AN42" s="967"/>
      <c r="AO42" s="967"/>
    </row>
    <row r="43" spans="1:41" ht="22.5">
      <c r="A43" s="17" t="s">
        <v>865</v>
      </c>
      <c r="B43" s="1108" t="s">
        <v>866</v>
      </c>
      <c r="C43" s="32">
        <f>+C44+C45</f>
        <v>0</v>
      </c>
      <c r="D43" s="32">
        <f t="shared" ref="D43:P43" si="40">+D44+D45</f>
        <v>0</v>
      </c>
      <c r="E43" s="32">
        <f t="shared" si="40"/>
        <v>0</v>
      </c>
      <c r="F43" s="32">
        <f t="shared" si="40"/>
        <v>714656</v>
      </c>
      <c r="G43" s="32">
        <f t="shared" si="40"/>
        <v>743242.23999999999</v>
      </c>
      <c r="H43" s="32">
        <v>552552</v>
      </c>
      <c r="I43" s="32">
        <f t="shared" si="40"/>
        <v>619420</v>
      </c>
      <c r="J43" s="32">
        <f t="shared" si="40"/>
        <v>552552</v>
      </c>
      <c r="K43" s="32">
        <f t="shared" si="40"/>
        <v>574654.08000000007</v>
      </c>
      <c r="L43" s="32">
        <f t="shared" si="40"/>
        <v>597640.24320000014</v>
      </c>
      <c r="M43" s="32">
        <f t="shared" si="40"/>
        <v>621545.85292800015</v>
      </c>
      <c r="N43" s="32">
        <f t="shared" si="40"/>
        <v>646407.68704512017</v>
      </c>
      <c r="O43" s="32">
        <f t="shared" si="40"/>
        <v>672263.99452692503</v>
      </c>
      <c r="P43" s="32">
        <f t="shared" si="40"/>
        <v>699154.554308002</v>
      </c>
      <c r="Q43" s="32">
        <f t="shared" ref="Q43:V43" si="41">+Q44+Q45</f>
        <v>727120.73648032208</v>
      </c>
      <c r="R43" s="32">
        <f t="shared" si="41"/>
        <v>756205.56593953504</v>
      </c>
      <c r="S43" s="32">
        <f t="shared" si="41"/>
        <v>786453.78857711644</v>
      </c>
      <c r="T43" s="32">
        <f t="shared" si="41"/>
        <v>817911.94012020109</v>
      </c>
      <c r="U43" s="32">
        <f t="shared" si="41"/>
        <v>850628.41772500915</v>
      </c>
      <c r="V43" s="32">
        <f t="shared" si="41"/>
        <v>884653.55443400959</v>
      </c>
      <c r="W43" s="32">
        <f>+W44+W45</f>
        <v>920039.69661136996</v>
      </c>
      <c r="X43" s="968"/>
      <c r="Z43" s="968"/>
      <c r="AA43" s="968"/>
      <c r="AB43" s="967"/>
      <c r="AC43" s="967"/>
      <c r="AD43" s="967"/>
      <c r="AE43" s="967"/>
      <c r="AF43" s="967"/>
      <c r="AG43" s="967"/>
      <c r="AH43" s="967"/>
      <c r="AI43" s="967"/>
      <c r="AJ43" s="967"/>
      <c r="AK43" s="967"/>
      <c r="AL43" s="971"/>
      <c r="AM43" s="967"/>
      <c r="AN43" s="967"/>
      <c r="AO43" s="967"/>
    </row>
    <row r="44" spans="1:41" ht="22.5">
      <c r="A44" s="19" t="s">
        <v>867</v>
      </c>
      <c r="B44" s="1108" t="s">
        <v>868</v>
      </c>
      <c r="C44" s="6"/>
      <c r="D44" s="6"/>
      <c r="E44" s="6"/>
      <c r="F44" s="6">
        <v>714656</v>
      </c>
      <c r="G44" s="6">
        <f t="shared" ref="G44:P45" si="42">+F44*1.04</f>
        <v>743242.23999999999</v>
      </c>
      <c r="H44" s="6">
        <v>552552</v>
      </c>
      <c r="I44" s="6">
        <v>619420</v>
      </c>
      <c r="J44" s="6">
        <v>552552</v>
      </c>
      <c r="K44" s="6">
        <f t="shared" si="42"/>
        <v>574654.08000000007</v>
      </c>
      <c r="L44" s="6">
        <f t="shared" si="42"/>
        <v>597640.24320000014</v>
      </c>
      <c r="M44" s="16">
        <f t="shared" si="42"/>
        <v>621545.85292800015</v>
      </c>
      <c r="N44" s="6">
        <f t="shared" si="42"/>
        <v>646407.68704512017</v>
      </c>
      <c r="O44" s="6">
        <f t="shared" si="42"/>
        <v>672263.99452692503</v>
      </c>
      <c r="P44" s="6">
        <f t="shared" si="42"/>
        <v>699154.554308002</v>
      </c>
      <c r="Q44" s="6">
        <f t="shared" ref="Q44:U45" si="43">+P44*1.04</f>
        <v>727120.73648032208</v>
      </c>
      <c r="R44" s="6">
        <f t="shared" si="43"/>
        <v>756205.56593953504</v>
      </c>
      <c r="S44" s="6">
        <f t="shared" si="43"/>
        <v>786453.78857711644</v>
      </c>
      <c r="T44" s="6">
        <f t="shared" si="43"/>
        <v>817911.94012020109</v>
      </c>
      <c r="U44" s="6">
        <f t="shared" si="43"/>
        <v>850628.41772500915</v>
      </c>
      <c r="V44" s="6">
        <f>+U44*1.04</f>
        <v>884653.55443400959</v>
      </c>
      <c r="W44" s="6">
        <f>+V44*1.04</f>
        <v>920039.69661136996</v>
      </c>
      <c r="X44" s="968"/>
      <c r="Z44" s="968"/>
      <c r="AA44" s="968"/>
      <c r="AB44" s="967"/>
      <c r="AC44" s="967"/>
      <c r="AD44" s="967"/>
      <c r="AE44" s="967"/>
      <c r="AF44" s="967"/>
      <c r="AG44" s="967"/>
      <c r="AH44" s="967"/>
      <c r="AI44" s="967"/>
      <c r="AJ44" s="967"/>
      <c r="AK44" s="967"/>
      <c r="AL44" s="971"/>
      <c r="AM44" s="967"/>
      <c r="AN44" s="967"/>
      <c r="AO44" s="967"/>
    </row>
    <row r="45" spans="1:41" hidden="1">
      <c r="A45" s="19" t="s">
        <v>869</v>
      </c>
      <c r="B45" s="1108" t="s">
        <v>870</v>
      </c>
      <c r="C45" s="6"/>
      <c r="D45" s="6"/>
      <c r="E45" s="6"/>
      <c r="F45" s="6">
        <v>0</v>
      </c>
      <c r="G45" s="6">
        <f t="shared" si="42"/>
        <v>0</v>
      </c>
      <c r="H45" s="6">
        <v>0</v>
      </c>
      <c r="I45" s="6">
        <f t="shared" si="42"/>
        <v>0</v>
      </c>
      <c r="J45" s="6">
        <f t="shared" si="42"/>
        <v>0</v>
      </c>
      <c r="K45" s="6">
        <f t="shared" si="42"/>
        <v>0</v>
      </c>
      <c r="L45" s="6">
        <f t="shared" si="42"/>
        <v>0</v>
      </c>
      <c r="M45" s="16">
        <f t="shared" si="42"/>
        <v>0</v>
      </c>
      <c r="N45" s="6">
        <f t="shared" si="42"/>
        <v>0</v>
      </c>
      <c r="O45" s="6">
        <f t="shared" si="42"/>
        <v>0</v>
      </c>
      <c r="P45" s="6">
        <f t="shared" si="42"/>
        <v>0</v>
      </c>
      <c r="Q45" s="6">
        <f t="shared" si="43"/>
        <v>0</v>
      </c>
      <c r="R45" s="6">
        <f t="shared" si="43"/>
        <v>0</v>
      </c>
      <c r="S45" s="6">
        <f t="shared" si="43"/>
        <v>0</v>
      </c>
      <c r="T45" s="6">
        <f t="shared" si="43"/>
        <v>0</v>
      </c>
      <c r="U45" s="6">
        <f t="shared" si="43"/>
        <v>0</v>
      </c>
      <c r="V45" s="6">
        <f>+U45*1.04</f>
        <v>0</v>
      </c>
      <c r="W45" s="6">
        <f>+V45*1.04</f>
        <v>0</v>
      </c>
      <c r="X45" s="968"/>
      <c r="Z45" s="968"/>
      <c r="AA45" s="968"/>
      <c r="AB45" s="967"/>
      <c r="AC45" s="967"/>
      <c r="AD45" s="967"/>
      <c r="AE45" s="967"/>
      <c r="AF45" s="967"/>
      <c r="AG45" s="967"/>
      <c r="AH45" s="967"/>
      <c r="AI45" s="967"/>
      <c r="AJ45" s="967"/>
      <c r="AK45" s="967"/>
      <c r="AL45" s="971"/>
      <c r="AM45" s="967"/>
      <c r="AN45" s="967"/>
      <c r="AO45" s="967"/>
    </row>
    <row r="46" spans="1:41" ht="27.75" customHeight="1">
      <c r="A46" s="17" t="s">
        <v>871</v>
      </c>
      <c r="B46" s="1108" t="s">
        <v>872</v>
      </c>
      <c r="C46" s="32">
        <f t="shared" ref="C46:P46" si="44">+C47+C52+C59+C64+C65</f>
        <v>0</v>
      </c>
      <c r="D46" s="32">
        <f t="shared" si="44"/>
        <v>0</v>
      </c>
      <c r="E46" s="32">
        <f t="shared" si="44"/>
        <v>0</v>
      </c>
      <c r="F46" s="32">
        <f t="shared" si="44"/>
        <v>5005953</v>
      </c>
      <c r="G46" s="32">
        <f t="shared" si="44"/>
        <v>5206191.12</v>
      </c>
      <c r="H46" s="32">
        <v>4538009</v>
      </c>
      <c r="I46" s="32">
        <f t="shared" si="44"/>
        <v>4834897</v>
      </c>
      <c r="J46" s="32">
        <f t="shared" si="44"/>
        <v>4683535.96</v>
      </c>
      <c r="K46" s="32">
        <f t="shared" si="44"/>
        <v>4870877.3983999994</v>
      </c>
      <c r="L46" s="32">
        <f t="shared" si="44"/>
        <v>5065712.4943359997</v>
      </c>
      <c r="M46" s="32">
        <f t="shared" si="44"/>
        <v>3928403.8334054407</v>
      </c>
      <c r="N46" s="32">
        <f t="shared" si="44"/>
        <v>4085539.9867416583</v>
      </c>
      <c r="O46" s="32">
        <f t="shared" si="44"/>
        <v>4248961.5862113256</v>
      </c>
      <c r="P46" s="32">
        <f t="shared" si="44"/>
        <v>4418920.0496597774</v>
      </c>
      <c r="Q46" s="32">
        <f t="shared" ref="Q46:V46" si="45">+Q47+Q52+Q59+Q64+Q65</f>
        <v>4595676.8516461691</v>
      </c>
      <c r="R46" s="32">
        <f t="shared" si="45"/>
        <v>4779503.9257120155</v>
      </c>
      <c r="S46" s="32">
        <f t="shared" si="45"/>
        <v>4970684.0827404959</v>
      </c>
      <c r="T46" s="32">
        <f t="shared" si="45"/>
        <v>5169511.4460501159</v>
      </c>
      <c r="U46" s="32">
        <f t="shared" si="45"/>
        <v>5376291.9038921213</v>
      </c>
      <c r="V46" s="32">
        <f t="shared" si="45"/>
        <v>5591343.5800478058</v>
      </c>
      <c r="W46" s="32">
        <f>+W47+W52+W59+W64+W65</f>
        <v>5814997.3232497191</v>
      </c>
      <c r="X46" s="968"/>
      <c r="Z46" s="968"/>
      <c r="AA46" s="968"/>
      <c r="AB46" s="967"/>
      <c r="AC46" s="967"/>
      <c r="AD46" s="967"/>
      <c r="AE46" s="967"/>
      <c r="AF46" s="967"/>
      <c r="AG46" s="967"/>
      <c r="AH46" s="967"/>
      <c r="AI46" s="967"/>
      <c r="AJ46" s="967"/>
      <c r="AK46" s="967"/>
      <c r="AL46" s="971"/>
      <c r="AM46" s="967"/>
      <c r="AN46" s="967"/>
      <c r="AO46" s="967"/>
    </row>
    <row r="47" spans="1:41" ht="22.5">
      <c r="A47" s="17" t="s">
        <v>873</v>
      </c>
      <c r="B47" s="1108" t="s">
        <v>874</v>
      </c>
      <c r="C47" s="32">
        <f>SUM(C48:C49)</f>
        <v>0</v>
      </c>
      <c r="D47" s="32">
        <f>SUM(D48:D49)</f>
        <v>0</v>
      </c>
      <c r="E47" s="32">
        <f>SUM(E48:E49)</f>
        <v>0</v>
      </c>
      <c r="F47" s="32">
        <f>SUM(F48:F49)</f>
        <v>426911</v>
      </c>
      <c r="G47" s="32">
        <f>SUM(G48:G49)</f>
        <v>443987.44</v>
      </c>
      <c r="H47" s="32">
        <v>358953</v>
      </c>
      <c r="I47" s="32">
        <f>+I49+I50+I51</f>
        <v>433086</v>
      </c>
      <c r="J47" s="32">
        <f t="shared" ref="J47:P47" si="46">+J49+J50+J51</f>
        <v>436458.96</v>
      </c>
      <c r="K47" s="32">
        <f t="shared" si="46"/>
        <v>453917.31839999999</v>
      </c>
      <c r="L47" s="32">
        <f t="shared" si="46"/>
        <v>472074.01113599999</v>
      </c>
      <c r="M47" s="32">
        <f t="shared" si="46"/>
        <v>411668.68281343998</v>
      </c>
      <c r="N47" s="32">
        <f t="shared" si="46"/>
        <v>428135.43012597755</v>
      </c>
      <c r="O47" s="32">
        <f t="shared" si="46"/>
        <v>445260.84733101667</v>
      </c>
      <c r="P47" s="32">
        <f t="shared" si="46"/>
        <v>463071.28122425731</v>
      </c>
      <c r="Q47" s="32">
        <f t="shared" ref="Q47:V47" si="47">+Q49+Q50+Q51</f>
        <v>481594.13247322763</v>
      </c>
      <c r="R47" s="32">
        <f t="shared" si="47"/>
        <v>500857.89777215675</v>
      </c>
      <c r="S47" s="32">
        <f t="shared" si="47"/>
        <v>520892.21368304302</v>
      </c>
      <c r="T47" s="32">
        <f t="shared" si="47"/>
        <v>541727.90223036474</v>
      </c>
      <c r="U47" s="32">
        <f t="shared" si="47"/>
        <v>563397.01831957942</v>
      </c>
      <c r="V47" s="32">
        <f t="shared" si="47"/>
        <v>585932.89905236254</v>
      </c>
      <c r="W47" s="32">
        <f>+W49+W50+W51</f>
        <v>609370.21501445712</v>
      </c>
      <c r="X47" s="968"/>
      <c r="Z47" s="968"/>
      <c r="AA47" s="968"/>
      <c r="AB47" s="967"/>
      <c r="AC47" s="967"/>
      <c r="AD47" s="967"/>
      <c r="AE47" s="967"/>
      <c r="AF47" s="967"/>
      <c r="AG47" s="967"/>
      <c r="AH47" s="967"/>
      <c r="AI47" s="967"/>
      <c r="AJ47" s="967"/>
      <c r="AK47" s="967"/>
      <c r="AL47" s="971"/>
      <c r="AM47" s="967"/>
      <c r="AN47" s="967"/>
      <c r="AO47" s="967"/>
    </row>
    <row r="48" spans="1:41" hidden="1">
      <c r="A48" s="19" t="s">
        <v>875</v>
      </c>
      <c r="B48" s="1145" t="s">
        <v>876</v>
      </c>
      <c r="C48" s="6"/>
      <c r="D48" s="6"/>
      <c r="E48" s="6"/>
      <c r="F48" s="6">
        <v>0</v>
      </c>
      <c r="G48" s="6">
        <f t="shared" ref="G48:P49" si="48">+F48*1.04</f>
        <v>0</v>
      </c>
      <c r="H48" s="6">
        <v>0</v>
      </c>
      <c r="I48" s="6">
        <f t="shared" si="48"/>
        <v>0</v>
      </c>
      <c r="J48" s="6">
        <f t="shared" si="48"/>
        <v>0</v>
      </c>
      <c r="K48" s="6">
        <f t="shared" si="48"/>
        <v>0</v>
      </c>
      <c r="L48" s="6">
        <f t="shared" si="48"/>
        <v>0</v>
      </c>
      <c r="M48" s="16">
        <f t="shared" si="48"/>
        <v>0</v>
      </c>
      <c r="N48" s="6">
        <f t="shared" si="48"/>
        <v>0</v>
      </c>
      <c r="O48" s="6">
        <f t="shared" si="48"/>
        <v>0</v>
      </c>
      <c r="P48" s="6">
        <f t="shared" si="48"/>
        <v>0</v>
      </c>
      <c r="Q48" s="6">
        <f t="shared" ref="Q48:U51" si="49">+P48*1.04</f>
        <v>0</v>
      </c>
      <c r="R48" s="6">
        <f t="shared" si="49"/>
        <v>0</v>
      </c>
      <c r="S48" s="6">
        <f t="shared" si="49"/>
        <v>0</v>
      </c>
      <c r="T48" s="6">
        <f t="shared" si="49"/>
        <v>0</v>
      </c>
      <c r="U48" s="6">
        <f t="shared" si="49"/>
        <v>0</v>
      </c>
      <c r="V48" s="6">
        <f t="shared" ref="V48:W51" si="50">+U48*1.04</f>
        <v>0</v>
      </c>
      <c r="W48" s="6">
        <f t="shared" si="50"/>
        <v>0</v>
      </c>
      <c r="X48" s="968"/>
      <c r="Z48" s="968"/>
      <c r="AA48" s="968"/>
      <c r="AB48" s="967"/>
      <c r="AC48" s="967"/>
      <c r="AD48" s="967"/>
      <c r="AE48" s="967"/>
      <c r="AF48" s="967"/>
      <c r="AG48" s="967"/>
      <c r="AH48" s="967"/>
      <c r="AI48" s="967"/>
      <c r="AJ48" s="967"/>
      <c r="AK48" s="967"/>
      <c r="AL48" s="971"/>
      <c r="AM48" s="967"/>
      <c r="AN48" s="967"/>
      <c r="AO48" s="967"/>
    </row>
    <row r="49" spans="1:41">
      <c r="A49" s="19" t="s">
        <v>877</v>
      </c>
      <c r="B49" s="1145" t="s">
        <v>1164</v>
      </c>
      <c r="C49" s="6"/>
      <c r="D49" s="6"/>
      <c r="E49" s="6"/>
      <c r="F49" s="6">
        <v>426911</v>
      </c>
      <c r="G49" s="6">
        <f t="shared" si="48"/>
        <v>443987.44</v>
      </c>
      <c r="H49" s="6">
        <v>358953</v>
      </c>
      <c r="I49" s="6">
        <v>355850</v>
      </c>
      <c r="J49" s="6">
        <v>358953</v>
      </c>
      <c r="K49" s="6">
        <f t="shared" si="48"/>
        <v>373311.12</v>
      </c>
      <c r="L49" s="6">
        <f t="shared" si="48"/>
        <v>388243.56479999999</v>
      </c>
      <c r="M49" s="16">
        <f t="shared" si="48"/>
        <v>403773.30739199999</v>
      </c>
      <c r="N49" s="6">
        <f t="shared" si="48"/>
        <v>419924.23968767998</v>
      </c>
      <c r="O49" s="6">
        <f t="shared" si="48"/>
        <v>436721.20927518717</v>
      </c>
      <c r="P49" s="6">
        <f t="shared" si="48"/>
        <v>454190.05764619465</v>
      </c>
      <c r="Q49" s="6">
        <f t="shared" si="49"/>
        <v>472357.65995204245</v>
      </c>
      <c r="R49" s="6">
        <f t="shared" si="49"/>
        <v>491251.96635012416</v>
      </c>
      <c r="S49" s="6">
        <f t="shared" si="49"/>
        <v>510902.04500412912</v>
      </c>
      <c r="T49" s="6">
        <f t="shared" si="49"/>
        <v>531338.1268042943</v>
      </c>
      <c r="U49" s="6">
        <f t="shared" si="49"/>
        <v>552591.65187646612</v>
      </c>
      <c r="V49" s="6">
        <f t="shared" si="50"/>
        <v>574695.31795152475</v>
      </c>
      <c r="W49" s="6">
        <f t="shared" si="50"/>
        <v>597683.13066958578</v>
      </c>
      <c r="X49" s="968"/>
      <c r="Z49" s="968"/>
      <c r="AA49" s="968"/>
      <c r="AB49" s="967"/>
      <c r="AC49" s="967"/>
      <c r="AD49" s="967"/>
      <c r="AE49" s="967"/>
      <c r="AF49" s="967"/>
      <c r="AG49" s="967"/>
      <c r="AH49" s="967"/>
      <c r="AI49" s="967"/>
      <c r="AJ49" s="967"/>
      <c r="AK49" s="967"/>
      <c r="AL49" s="971"/>
      <c r="AM49" s="967"/>
      <c r="AN49" s="967"/>
      <c r="AO49" s="967"/>
    </row>
    <row r="50" spans="1:41">
      <c r="A50" s="19"/>
      <c r="B50" s="1145" t="s">
        <v>656</v>
      </c>
      <c r="C50" s="6"/>
      <c r="D50" s="6"/>
      <c r="E50" s="6"/>
      <c r="F50" s="6"/>
      <c r="G50" s="6"/>
      <c r="H50" s="6"/>
      <c r="I50" s="6">
        <v>6749</v>
      </c>
      <c r="J50" s="6">
        <f>+I50*1.04</f>
        <v>7018.96</v>
      </c>
      <c r="K50" s="6">
        <f t="shared" ref="K50:P50" si="51">+J50*1.04</f>
        <v>7299.7184000000007</v>
      </c>
      <c r="L50" s="6">
        <f t="shared" si="51"/>
        <v>7591.7071360000009</v>
      </c>
      <c r="M50" s="16">
        <f t="shared" si="51"/>
        <v>7895.3754214400014</v>
      </c>
      <c r="N50" s="6">
        <f t="shared" si="51"/>
        <v>8211.1904382976027</v>
      </c>
      <c r="O50" s="6">
        <f t="shared" si="51"/>
        <v>8539.6380558295077</v>
      </c>
      <c r="P50" s="6">
        <f t="shared" si="51"/>
        <v>8881.2235780626888</v>
      </c>
      <c r="Q50" s="6">
        <f t="shared" si="49"/>
        <v>9236.4725211851965</v>
      </c>
      <c r="R50" s="6">
        <f t="shared" si="49"/>
        <v>9605.931422032605</v>
      </c>
      <c r="S50" s="6">
        <f t="shared" si="49"/>
        <v>9990.1686789139094</v>
      </c>
      <c r="T50" s="6">
        <f t="shared" si="49"/>
        <v>10389.775426070466</v>
      </c>
      <c r="U50" s="6">
        <f t="shared" si="49"/>
        <v>10805.366443113286</v>
      </c>
      <c r="V50" s="6">
        <f t="shared" si="50"/>
        <v>11237.581100837817</v>
      </c>
      <c r="W50" s="6">
        <f t="shared" si="50"/>
        <v>11687.084344871329</v>
      </c>
      <c r="X50" s="968"/>
      <c r="Z50" s="968"/>
      <c r="AA50" s="968"/>
      <c r="AB50" s="967"/>
      <c r="AC50" s="967"/>
      <c r="AD50" s="967"/>
      <c r="AE50" s="967"/>
      <c r="AF50" s="967"/>
      <c r="AG50" s="967"/>
      <c r="AH50" s="967"/>
      <c r="AI50" s="967"/>
      <c r="AJ50" s="967"/>
      <c r="AK50" s="967"/>
      <c r="AL50" s="971"/>
      <c r="AM50" s="967"/>
      <c r="AN50" s="967"/>
      <c r="AO50" s="967"/>
    </row>
    <row r="51" spans="1:41" ht="22.5" hidden="1">
      <c r="A51" s="19"/>
      <c r="B51" s="1107" t="s">
        <v>894</v>
      </c>
      <c r="C51" s="6"/>
      <c r="D51" s="6"/>
      <c r="E51" s="6"/>
      <c r="F51" s="6"/>
      <c r="G51" s="6"/>
      <c r="H51" s="6"/>
      <c r="I51" s="6">
        <v>70487</v>
      </c>
      <c r="J51" s="6">
        <v>70487</v>
      </c>
      <c r="K51" s="6">
        <f t="shared" ref="K51:P51" si="52">+J51*1.04</f>
        <v>73306.48</v>
      </c>
      <c r="L51" s="6">
        <f t="shared" si="52"/>
        <v>76238.739199999996</v>
      </c>
      <c r="M51" s="16">
        <v>0</v>
      </c>
      <c r="N51" s="6">
        <f t="shared" si="52"/>
        <v>0</v>
      </c>
      <c r="O51" s="6">
        <f t="shared" si="52"/>
        <v>0</v>
      </c>
      <c r="P51" s="6">
        <f t="shared" si="52"/>
        <v>0</v>
      </c>
      <c r="Q51" s="6">
        <f t="shared" si="49"/>
        <v>0</v>
      </c>
      <c r="R51" s="6">
        <f t="shared" si="49"/>
        <v>0</v>
      </c>
      <c r="S51" s="6">
        <f t="shared" si="49"/>
        <v>0</v>
      </c>
      <c r="T51" s="6">
        <f t="shared" si="49"/>
        <v>0</v>
      </c>
      <c r="U51" s="6">
        <f t="shared" si="49"/>
        <v>0</v>
      </c>
      <c r="V51" s="6">
        <f t="shared" si="50"/>
        <v>0</v>
      </c>
      <c r="W51" s="6">
        <f t="shared" si="50"/>
        <v>0</v>
      </c>
      <c r="X51" s="968"/>
      <c r="Z51" s="968"/>
      <c r="AA51" s="968"/>
      <c r="AB51" s="967"/>
      <c r="AC51" s="967"/>
      <c r="AD51" s="967"/>
      <c r="AE51" s="967"/>
      <c r="AF51" s="967"/>
      <c r="AG51" s="967"/>
      <c r="AH51" s="967"/>
      <c r="AI51" s="967"/>
      <c r="AJ51" s="967"/>
      <c r="AK51" s="967"/>
      <c r="AL51" s="971"/>
      <c r="AM51" s="967"/>
      <c r="AN51" s="967"/>
      <c r="AO51" s="967"/>
    </row>
    <row r="52" spans="1:41" ht="22.5">
      <c r="A52" s="17" t="s">
        <v>879</v>
      </c>
      <c r="B52" s="1108" t="s">
        <v>880</v>
      </c>
      <c r="C52" s="32">
        <f>SUM(C53:C58)</f>
        <v>0</v>
      </c>
      <c r="D52" s="32">
        <f t="shared" ref="D52:P52" si="53">SUM(D53:D58)</f>
        <v>0</v>
      </c>
      <c r="E52" s="32">
        <f t="shared" si="53"/>
        <v>0</v>
      </c>
      <c r="F52" s="32">
        <f>SUM(F53:F58)</f>
        <v>2837410</v>
      </c>
      <c r="G52" s="32">
        <f t="shared" si="53"/>
        <v>2950906.4</v>
      </c>
      <c r="H52" s="32">
        <v>2832516</v>
      </c>
      <c r="I52" s="32">
        <f t="shared" si="53"/>
        <v>2968313</v>
      </c>
      <c r="J52" s="32">
        <f t="shared" si="53"/>
        <v>2968313</v>
      </c>
      <c r="K52" s="32">
        <f t="shared" si="53"/>
        <v>3087045.52</v>
      </c>
      <c r="L52" s="32">
        <f t="shared" si="53"/>
        <v>3210527.3407999999</v>
      </c>
      <c r="M52" s="32">
        <f t="shared" si="53"/>
        <v>1999011.5624960004</v>
      </c>
      <c r="N52" s="32">
        <f t="shared" si="53"/>
        <v>2078972.0249958406</v>
      </c>
      <c r="O52" s="32">
        <f t="shared" si="53"/>
        <v>2162130.9059956744</v>
      </c>
      <c r="P52" s="32">
        <f t="shared" si="53"/>
        <v>2248616.1422355012</v>
      </c>
      <c r="Q52" s="32">
        <f t="shared" ref="Q52:V52" si="54">SUM(Q53:Q58)</f>
        <v>2338560.7879249211</v>
      </c>
      <c r="R52" s="32">
        <f t="shared" si="54"/>
        <v>2432103.2194419182</v>
      </c>
      <c r="S52" s="32">
        <f t="shared" si="54"/>
        <v>2529387.3482195949</v>
      </c>
      <c r="T52" s="32">
        <f t="shared" si="54"/>
        <v>2630562.8421483785</v>
      </c>
      <c r="U52" s="32">
        <f t="shared" si="54"/>
        <v>2735785.3558343137</v>
      </c>
      <c r="V52" s="32">
        <f t="shared" si="54"/>
        <v>2845216.7700676867</v>
      </c>
      <c r="W52" s="32">
        <f>SUM(W53:W58)</f>
        <v>2959025.4408703945</v>
      </c>
      <c r="X52" s="968"/>
      <c r="Z52" s="968"/>
      <c r="AA52" s="968"/>
      <c r="AB52" s="967"/>
      <c r="AC52" s="967"/>
      <c r="AD52" s="967"/>
      <c r="AE52" s="967"/>
      <c r="AF52" s="967"/>
      <c r="AG52" s="967"/>
      <c r="AH52" s="967"/>
      <c r="AI52" s="967"/>
      <c r="AJ52" s="967"/>
      <c r="AK52" s="967"/>
      <c r="AL52" s="971"/>
      <c r="AM52" s="967"/>
      <c r="AN52" s="967"/>
      <c r="AO52" s="967"/>
    </row>
    <row r="53" spans="1:41">
      <c r="A53" s="19" t="s">
        <v>881</v>
      </c>
      <c r="B53" s="1145" t="s">
        <v>882</v>
      </c>
      <c r="C53" s="6"/>
      <c r="D53" s="6"/>
      <c r="E53" s="6"/>
      <c r="F53" s="6">
        <v>1634306</v>
      </c>
      <c r="G53" s="6">
        <f t="shared" ref="G53:P53" si="55">+F53*1.04</f>
        <v>1699678.24</v>
      </c>
      <c r="H53" s="6">
        <v>1588976</v>
      </c>
      <c r="I53" s="6">
        <v>1652535</v>
      </c>
      <c r="J53" s="6">
        <v>1652535</v>
      </c>
      <c r="K53" s="6">
        <f t="shared" si="55"/>
        <v>1718636.4000000001</v>
      </c>
      <c r="L53" s="6">
        <f t="shared" si="55"/>
        <v>1787381.8560000001</v>
      </c>
      <c r="M53" s="16">
        <f t="shared" si="55"/>
        <v>1858877.1302400003</v>
      </c>
      <c r="N53" s="6">
        <f t="shared" si="55"/>
        <v>1933232.2154496005</v>
      </c>
      <c r="O53" s="6">
        <f t="shared" si="55"/>
        <v>2010561.5040675846</v>
      </c>
      <c r="P53" s="6">
        <f t="shared" si="55"/>
        <v>2090983.9642302881</v>
      </c>
      <c r="Q53" s="6">
        <f t="shared" ref="Q53:U58" si="56">+P53*1.04</f>
        <v>2174623.3227994996</v>
      </c>
      <c r="R53" s="6">
        <f t="shared" si="56"/>
        <v>2261608.2557114796</v>
      </c>
      <c r="S53" s="6">
        <f t="shared" si="56"/>
        <v>2352072.5859399387</v>
      </c>
      <c r="T53" s="6">
        <f t="shared" si="56"/>
        <v>2446155.4893775363</v>
      </c>
      <c r="U53" s="6">
        <f t="shared" si="56"/>
        <v>2544001.7089526379</v>
      </c>
      <c r="V53" s="6">
        <f t="shared" ref="V53:W58" si="57">+U53*1.04</f>
        <v>2645761.7773107435</v>
      </c>
      <c r="W53" s="6">
        <f t="shared" si="57"/>
        <v>2751592.2484031734</v>
      </c>
      <c r="X53" s="968"/>
      <c r="Z53" s="968"/>
      <c r="AA53" s="968"/>
      <c r="AB53" s="967"/>
      <c r="AC53" s="967"/>
      <c r="AD53" s="967"/>
      <c r="AE53" s="967"/>
      <c r="AF53" s="967"/>
      <c r="AG53" s="967"/>
      <c r="AH53" s="967"/>
      <c r="AI53" s="967"/>
      <c r="AJ53" s="967"/>
      <c r="AK53" s="967"/>
      <c r="AL53" s="971"/>
      <c r="AM53" s="967"/>
      <c r="AN53" s="967"/>
      <c r="AO53" s="967"/>
    </row>
    <row r="54" spans="1:41">
      <c r="A54" s="19"/>
      <c r="B54" s="1145" t="s">
        <v>655</v>
      </c>
      <c r="C54" s="6"/>
      <c r="D54" s="6"/>
      <c r="E54" s="6"/>
      <c r="F54" s="6"/>
      <c r="G54" s="6"/>
      <c r="H54" s="6"/>
      <c r="I54" s="6">
        <v>22497</v>
      </c>
      <c r="J54" s="6">
        <v>22497</v>
      </c>
      <c r="K54" s="6">
        <f t="shared" ref="K54:P54" si="58">+J54*1.04</f>
        <v>23396.880000000001</v>
      </c>
      <c r="L54" s="6">
        <f t="shared" si="58"/>
        <v>24332.755200000003</v>
      </c>
      <c r="M54" s="16">
        <f t="shared" si="58"/>
        <v>25306.065408000006</v>
      </c>
      <c r="N54" s="6">
        <f t="shared" si="58"/>
        <v>26318.308024320006</v>
      </c>
      <c r="O54" s="6">
        <f t="shared" si="58"/>
        <v>27371.040345292808</v>
      </c>
      <c r="P54" s="6">
        <f t="shared" si="58"/>
        <v>28465.881959104521</v>
      </c>
      <c r="Q54" s="6">
        <f t="shared" si="56"/>
        <v>29604.517237468703</v>
      </c>
      <c r="R54" s="6">
        <f t="shared" si="56"/>
        <v>30788.697926967452</v>
      </c>
      <c r="S54" s="6">
        <f t="shared" si="56"/>
        <v>32020.245844046152</v>
      </c>
      <c r="T54" s="6">
        <f t="shared" si="56"/>
        <v>33301.055677807999</v>
      </c>
      <c r="U54" s="6">
        <f t="shared" si="56"/>
        <v>34633.097904920323</v>
      </c>
      <c r="V54" s="6">
        <f t="shared" si="57"/>
        <v>36018.421821117139</v>
      </c>
      <c r="W54" s="6">
        <f t="shared" si="57"/>
        <v>37459.158693961828</v>
      </c>
      <c r="X54" s="968"/>
      <c r="Z54" s="968"/>
      <c r="AA54" s="968"/>
      <c r="AB54" s="967"/>
      <c r="AC54" s="967"/>
      <c r="AD54" s="967"/>
      <c r="AE54" s="967"/>
      <c r="AF54" s="967"/>
      <c r="AG54" s="967"/>
      <c r="AH54" s="967"/>
      <c r="AI54" s="967"/>
      <c r="AJ54" s="967"/>
      <c r="AK54" s="967"/>
      <c r="AL54" s="971"/>
      <c r="AM54" s="967"/>
      <c r="AN54" s="967"/>
      <c r="AO54" s="967"/>
    </row>
    <row r="55" spans="1:41" hidden="1">
      <c r="A55" s="19" t="s">
        <v>883</v>
      </c>
      <c r="B55" s="1145" t="s">
        <v>1348</v>
      </c>
      <c r="C55" s="6"/>
      <c r="D55" s="6"/>
      <c r="E55" s="6"/>
      <c r="F55" s="6">
        <f>182062+927527</f>
        <v>1109589</v>
      </c>
      <c r="G55" s="6">
        <f t="shared" ref="G55:P55" si="59">+F55*1.04</f>
        <v>1153972.56</v>
      </c>
      <c r="H55" s="6">
        <v>1145384</v>
      </c>
      <c r="I55" s="6">
        <v>1191199</v>
      </c>
      <c r="J55" s="6">
        <v>1191199</v>
      </c>
      <c r="K55" s="6">
        <f t="shared" si="59"/>
        <v>1238846.96</v>
      </c>
      <c r="L55" s="6">
        <f t="shared" si="59"/>
        <v>1288400.8384</v>
      </c>
      <c r="M55" s="16">
        <v>0</v>
      </c>
      <c r="N55" s="6">
        <f t="shared" si="59"/>
        <v>0</v>
      </c>
      <c r="O55" s="6">
        <f t="shared" si="59"/>
        <v>0</v>
      </c>
      <c r="P55" s="6">
        <f t="shared" si="59"/>
        <v>0</v>
      </c>
      <c r="Q55" s="6">
        <f t="shared" si="56"/>
        <v>0</v>
      </c>
      <c r="R55" s="6">
        <f t="shared" si="56"/>
        <v>0</v>
      </c>
      <c r="S55" s="6">
        <f t="shared" si="56"/>
        <v>0</v>
      </c>
      <c r="T55" s="6">
        <f t="shared" si="56"/>
        <v>0</v>
      </c>
      <c r="U55" s="6">
        <f t="shared" si="56"/>
        <v>0</v>
      </c>
      <c r="V55" s="6">
        <f t="shared" si="57"/>
        <v>0</v>
      </c>
      <c r="W55" s="6">
        <f t="shared" si="57"/>
        <v>0</v>
      </c>
      <c r="X55" s="968"/>
      <c r="Z55" s="968"/>
      <c r="AA55" s="968"/>
      <c r="AB55" s="967"/>
      <c r="AC55" s="967"/>
      <c r="AD55" s="967"/>
      <c r="AE55" s="967"/>
      <c r="AF55" s="967"/>
      <c r="AG55" s="967"/>
      <c r="AH55" s="967"/>
      <c r="AI55" s="967"/>
      <c r="AJ55" s="967"/>
      <c r="AK55" s="967"/>
      <c r="AL55" s="971"/>
      <c r="AM55" s="967"/>
      <c r="AN55" s="967"/>
      <c r="AO55" s="967"/>
    </row>
    <row r="56" spans="1:41" ht="22.5">
      <c r="A56" s="19" t="s">
        <v>885</v>
      </c>
      <c r="B56" s="1145" t="s">
        <v>886</v>
      </c>
      <c r="C56" s="6"/>
      <c r="D56" s="6"/>
      <c r="E56" s="6"/>
      <c r="F56" s="6">
        <v>93515</v>
      </c>
      <c r="G56" s="6">
        <f t="shared" ref="G56:P56" si="60">+F56*1.04</f>
        <v>97255.6</v>
      </c>
      <c r="H56" s="6">
        <v>98156</v>
      </c>
      <c r="I56" s="6">
        <v>102082</v>
      </c>
      <c r="J56" s="6">
        <v>102082</v>
      </c>
      <c r="K56" s="6">
        <f t="shared" si="60"/>
        <v>106165.28</v>
      </c>
      <c r="L56" s="6">
        <f t="shared" si="60"/>
        <v>110411.8912</v>
      </c>
      <c r="M56" s="16">
        <f t="shared" si="60"/>
        <v>114828.36684800001</v>
      </c>
      <c r="N56" s="6">
        <f t="shared" si="60"/>
        <v>119421.50152192001</v>
      </c>
      <c r="O56" s="6">
        <f t="shared" si="60"/>
        <v>124198.36158279682</v>
      </c>
      <c r="P56" s="6">
        <f t="shared" si="60"/>
        <v>129166.29604610869</v>
      </c>
      <c r="Q56" s="6">
        <f t="shared" si="56"/>
        <v>134332.94788795305</v>
      </c>
      <c r="R56" s="6">
        <f t="shared" si="56"/>
        <v>139706.26580347118</v>
      </c>
      <c r="S56" s="6">
        <f t="shared" si="56"/>
        <v>145294.51643561004</v>
      </c>
      <c r="T56" s="6">
        <f t="shared" si="56"/>
        <v>151106.29709303446</v>
      </c>
      <c r="U56" s="6">
        <f t="shared" si="56"/>
        <v>157150.54897675585</v>
      </c>
      <c r="V56" s="6">
        <f t="shared" si="57"/>
        <v>163436.57093582608</v>
      </c>
      <c r="W56" s="6">
        <f t="shared" si="57"/>
        <v>169974.03377325911</v>
      </c>
      <c r="X56" s="968"/>
      <c r="Z56" s="968"/>
      <c r="AA56" s="968"/>
      <c r="AB56" s="967"/>
      <c r="AC56" s="967"/>
      <c r="AD56" s="967"/>
      <c r="AE56" s="967"/>
      <c r="AF56" s="967"/>
      <c r="AG56" s="967"/>
      <c r="AH56" s="967"/>
      <c r="AI56" s="967"/>
      <c r="AJ56" s="967"/>
      <c r="AK56" s="967"/>
      <c r="AL56" s="971"/>
      <c r="AM56" s="967"/>
      <c r="AN56" s="967"/>
      <c r="AO56" s="967"/>
    </row>
    <row r="57" spans="1:41" hidden="1">
      <c r="A57" s="19" t="s">
        <v>887</v>
      </c>
      <c r="B57" s="1145" t="s">
        <v>1349</v>
      </c>
      <c r="C57" s="6"/>
      <c r="D57" s="6"/>
      <c r="E57" s="6"/>
      <c r="F57" s="6">
        <v>0</v>
      </c>
      <c r="G57" s="6">
        <f t="shared" ref="G57:P57" si="61">+F57*1.04</f>
        <v>0</v>
      </c>
      <c r="H57" s="6">
        <v>0</v>
      </c>
      <c r="I57" s="6">
        <f t="shared" si="61"/>
        <v>0</v>
      </c>
      <c r="J57" s="6">
        <f t="shared" si="61"/>
        <v>0</v>
      </c>
      <c r="K57" s="6">
        <f t="shared" si="61"/>
        <v>0</v>
      </c>
      <c r="L57" s="6">
        <f t="shared" si="61"/>
        <v>0</v>
      </c>
      <c r="M57" s="16">
        <v>0</v>
      </c>
      <c r="N57" s="6">
        <f t="shared" si="61"/>
        <v>0</v>
      </c>
      <c r="O57" s="6">
        <f t="shared" si="61"/>
        <v>0</v>
      </c>
      <c r="P57" s="6">
        <f t="shared" si="61"/>
        <v>0</v>
      </c>
      <c r="Q57" s="6">
        <f t="shared" si="56"/>
        <v>0</v>
      </c>
      <c r="R57" s="6">
        <f t="shared" si="56"/>
        <v>0</v>
      </c>
      <c r="S57" s="6">
        <f t="shared" si="56"/>
        <v>0</v>
      </c>
      <c r="T57" s="6">
        <f t="shared" si="56"/>
        <v>0</v>
      </c>
      <c r="U57" s="6">
        <f t="shared" si="56"/>
        <v>0</v>
      </c>
      <c r="V57" s="6">
        <f t="shared" si="57"/>
        <v>0</v>
      </c>
      <c r="W57" s="6">
        <f t="shared" si="57"/>
        <v>0</v>
      </c>
      <c r="X57" s="968"/>
      <c r="Z57" s="968"/>
      <c r="AA57" s="968"/>
      <c r="AB57" s="967"/>
      <c r="AC57" s="967"/>
      <c r="AD57" s="967"/>
      <c r="AE57" s="967"/>
      <c r="AF57" s="967"/>
      <c r="AG57" s="967"/>
      <c r="AH57" s="967"/>
      <c r="AI57" s="967"/>
      <c r="AJ57" s="967"/>
      <c r="AK57" s="967"/>
      <c r="AL57" s="971"/>
      <c r="AM57" s="967"/>
      <c r="AN57" s="967"/>
      <c r="AO57" s="967"/>
    </row>
    <row r="58" spans="1:41" hidden="1">
      <c r="A58" s="19" t="s">
        <v>889</v>
      </c>
      <c r="B58" s="1145" t="s">
        <v>890</v>
      </c>
      <c r="C58" s="6"/>
      <c r="D58" s="6"/>
      <c r="E58" s="6"/>
      <c r="F58" s="6">
        <v>0</v>
      </c>
      <c r="G58" s="6">
        <f t="shared" ref="G58:P58" si="62">+F58*1.04</f>
        <v>0</v>
      </c>
      <c r="H58" s="6">
        <v>0</v>
      </c>
      <c r="I58" s="6">
        <f t="shared" si="62"/>
        <v>0</v>
      </c>
      <c r="J58" s="6">
        <f t="shared" si="62"/>
        <v>0</v>
      </c>
      <c r="K58" s="6">
        <f t="shared" si="62"/>
        <v>0</v>
      </c>
      <c r="L58" s="6">
        <f t="shared" si="62"/>
        <v>0</v>
      </c>
      <c r="M58" s="16">
        <f t="shared" si="62"/>
        <v>0</v>
      </c>
      <c r="N58" s="6">
        <f t="shared" si="62"/>
        <v>0</v>
      </c>
      <c r="O58" s="6">
        <f t="shared" si="62"/>
        <v>0</v>
      </c>
      <c r="P58" s="6">
        <f t="shared" si="62"/>
        <v>0</v>
      </c>
      <c r="Q58" s="6">
        <f t="shared" si="56"/>
        <v>0</v>
      </c>
      <c r="R58" s="6">
        <f t="shared" si="56"/>
        <v>0</v>
      </c>
      <c r="S58" s="6">
        <f t="shared" si="56"/>
        <v>0</v>
      </c>
      <c r="T58" s="6">
        <f t="shared" si="56"/>
        <v>0</v>
      </c>
      <c r="U58" s="6">
        <f t="shared" si="56"/>
        <v>0</v>
      </c>
      <c r="V58" s="6">
        <f t="shared" si="57"/>
        <v>0</v>
      </c>
      <c r="W58" s="6">
        <f t="shared" si="57"/>
        <v>0</v>
      </c>
      <c r="X58" s="968"/>
      <c r="Z58" s="968"/>
      <c r="AA58" s="968"/>
      <c r="AB58" s="967"/>
      <c r="AC58" s="967"/>
      <c r="AD58" s="967"/>
      <c r="AE58" s="967"/>
      <c r="AF58" s="967"/>
      <c r="AG58" s="967"/>
      <c r="AH58" s="967"/>
      <c r="AI58" s="967"/>
      <c r="AJ58" s="967"/>
      <c r="AK58" s="967"/>
      <c r="AL58" s="971"/>
      <c r="AM58" s="967"/>
      <c r="AN58" s="967"/>
      <c r="AO58" s="967"/>
    </row>
    <row r="59" spans="1:41" ht="22.5">
      <c r="A59" s="17" t="s">
        <v>891</v>
      </c>
      <c r="B59" s="1108" t="s">
        <v>892</v>
      </c>
      <c r="C59" s="6"/>
      <c r="D59" s="6"/>
      <c r="E59" s="6"/>
      <c r="F59" s="6">
        <v>1663434</v>
      </c>
      <c r="G59" s="699">
        <f>+F59*1.04</f>
        <v>1729971.36</v>
      </c>
      <c r="H59" s="699">
        <v>1278764</v>
      </c>
      <c r="I59" s="699">
        <f t="shared" ref="I59:P59" si="63">SUM(I60:I63)</f>
        <v>1433498</v>
      </c>
      <c r="J59" s="699">
        <f t="shared" si="63"/>
        <v>1278764</v>
      </c>
      <c r="K59" s="699">
        <f t="shared" si="63"/>
        <v>1329914.56</v>
      </c>
      <c r="L59" s="699">
        <f t="shared" si="63"/>
        <v>1383111.1424000002</v>
      </c>
      <c r="M59" s="699">
        <f t="shared" si="63"/>
        <v>1438435.5880960003</v>
      </c>
      <c r="N59" s="699">
        <f t="shared" si="63"/>
        <v>1495973.0116198403</v>
      </c>
      <c r="O59" s="699">
        <f t="shared" si="63"/>
        <v>1555811.932084634</v>
      </c>
      <c r="P59" s="699">
        <f t="shared" si="63"/>
        <v>1618044.4093680193</v>
      </c>
      <c r="Q59" s="699">
        <f t="shared" ref="Q59:V59" si="64">SUM(Q60:Q63)</f>
        <v>1682766.1857427401</v>
      </c>
      <c r="R59" s="699">
        <f t="shared" si="64"/>
        <v>1750076.8331724496</v>
      </c>
      <c r="S59" s="699">
        <f t="shared" si="64"/>
        <v>1820079.9064993476</v>
      </c>
      <c r="T59" s="699">
        <f t="shared" si="64"/>
        <v>1892883.1027593217</v>
      </c>
      <c r="U59" s="699">
        <f t="shared" si="64"/>
        <v>1968598.4268696946</v>
      </c>
      <c r="V59" s="699">
        <f t="shared" si="64"/>
        <v>2047342.3639444825</v>
      </c>
      <c r="W59" s="699">
        <f>SUM(W60:W63)</f>
        <v>2129236.058502262</v>
      </c>
      <c r="X59" s="968"/>
      <c r="Z59" s="968"/>
      <c r="AA59" s="968"/>
      <c r="AB59" s="967"/>
      <c r="AC59" s="967"/>
      <c r="AD59" s="967"/>
      <c r="AE59" s="967"/>
      <c r="AF59" s="967"/>
      <c r="AG59" s="967"/>
      <c r="AH59" s="967"/>
      <c r="AI59" s="967"/>
      <c r="AJ59" s="967"/>
      <c r="AK59" s="967"/>
      <c r="AL59" s="971"/>
      <c r="AM59" s="967"/>
      <c r="AN59" s="967"/>
      <c r="AO59" s="967"/>
    </row>
    <row r="60" spans="1:41">
      <c r="A60" s="17"/>
      <c r="B60" s="1145" t="s">
        <v>482</v>
      </c>
      <c r="C60" s="6"/>
      <c r="D60" s="6"/>
      <c r="E60" s="6"/>
      <c r="F60" s="6"/>
      <c r="G60" s="699"/>
      <c r="H60" s="16">
        <v>582548</v>
      </c>
      <c r="I60" s="6">
        <v>653048</v>
      </c>
      <c r="J60" s="16">
        <v>582548</v>
      </c>
      <c r="K60" s="6">
        <f t="shared" ref="K60:P60" si="65">+J60*1.04</f>
        <v>605849.92000000004</v>
      </c>
      <c r="L60" s="6">
        <f t="shared" si="65"/>
        <v>630083.91680000012</v>
      </c>
      <c r="M60" s="16">
        <f t="shared" si="65"/>
        <v>655287.27347200015</v>
      </c>
      <c r="N60" s="6">
        <f t="shared" si="65"/>
        <v>681498.76441088016</v>
      </c>
      <c r="O60" s="6">
        <f t="shared" si="65"/>
        <v>708758.71498731535</v>
      </c>
      <c r="P60" s="6">
        <f t="shared" si="65"/>
        <v>737109.06358680804</v>
      </c>
      <c r="Q60" s="6">
        <f t="shared" ref="Q60:U65" si="66">+P60*1.04</f>
        <v>766593.42613028036</v>
      </c>
      <c r="R60" s="6">
        <f t="shared" si="66"/>
        <v>797257.16317549162</v>
      </c>
      <c r="S60" s="6">
        <f t="shared" si="66"/>
        <v>829147.44970251131</v>
      </c>
      <c r="T60" s="6">
        <f t="shared" si="66"/>
        <v>862313.34769061184</v>
      </c>
      <c r="U60" s="6">
        <f t="shared" si="66"/>
        <v>896805.88159823639</v>
      </c>
      <c r="V60" s="6">
        <f t="shared" ref="V60:W65" si="67">+U60*1.04</f>
        <v>932678.11686216586</v>
      </c>
      <c r="W60" s="6">
        <f t="shared" si="67"/>
        <v>969985.24153665255</v>
      </c>
      <c r="X60" s="968"/>
      <c r="Z60" s="968"/>
      <c r="AA60" s="968"/>
      <c r="AB60" s="967"/>
      <c r="AC60" s="967"/>
      <c r="AD60" s="967"/>
      <c r="AE60" s="967"/>
      <c r="AF60" s="967"/>
      <c r="AG60" s="967"/>
      <c r="AH60" s="967"/>
      <c r="AI60" s="967"/>
      <c r="AJ60" s="967"/>
      <c r="AK60" s="967"/>
      <c r="AL60" s="971"/>
      <c r="AM60" s="967"/>
      <c r="AN60" s="967"/>
      <c r="AO60" s="967"/>
    </row>
    <row r="61" spans="1:41">
      <c r="A61" s="17"/>
      <c r="B61" s="1145" t="s">
        <v>483</v>
      </c>
      <c r="C61" s="6"/>
      <c r="D61" s="6"/>
      <c r="E61" s="6"/>
      <c r="F61" s="6"/>
      <c r="G61" s="699"/>
      <c r="H61" s="16">
        <v>56834</v>
      </c>
      <c r="I61" s="6">
        <v>63701</v>
      </c>
      <c r="J61" s="16">
        <v>56834</v>
      </c>
      <c r="K61" s="6">
        <f t="shared" ref="K61:P61" si="68">+J61*1.04</f>
        <v>59107.360000000001</v>
      </c>
      <c r="L61" s="6">
        <f t="shared" si="68"/>
        <v>61471.654399999999</v>
      </c>
      <c r="M61" s="16">
        <f t="shared" si="68"/>
        <v>63930.520576000003</v>
      </c>
      <c r="N61" s="6">
        <f t="shared" si="68"/>
        <v>66487.741399040009</v>
      </c>
      <c r="O61" s="6">
        <f t="shared" si="68"/>
        <v>69147.251055001616</v>
      </c>
      <c r="P61" s="6">
        <f t="shared" si="68"/>
        <v>71913.141097201689</v>
      </c>
      <c r="Q61" s="6">
        <f t="shared" si="66"/>
        <v>74789.666741089764</v>
      </c>
      <c r="R61" s="6">
        <f t="shared" si="66"/>
        <v>77781.253410733363</v>
      </c>
      <c r="S61" s="6">
        <f t="shared" si="66"/>
        <v>80892.503547162705</v>
      </c>
      <c r="T61" s="6">
        <f t="shared" si="66"/>
        <v>84128.203689049216</v>
      </c>
      <c r="U61" s="6">
        <f t="shared" si="66"/>
        <v>87493.331836611193</v>
      </c>
      <c r="V61" s="6">
        <f t="shared" si="67"/>
        <v>90993.065110075637</v>
      </c>
      <c r="W61" s="6">
        <f t="shared" si="67"/>
        <v>94632.787714478662</v>
      </c>
      <c r="X61" s="968"/>
      <c r="Z61" s="968"/>
      <c r="AA61" s="968"/>
      <c r="AB61" s="967"/>
      <c r="AC61" s="967"/>
      <c r="AD61" s="967"/>
      <c r="AE61" s="967"/>
      <c r="AF61" s="967"/>
      <c r="AG61" s="967"/>
      <c r="AH61" s="967"/>
      <c r="AI61" s="967"/>
      <c r="AJ61" s="967"/>
      <c r="AK61" s="967"/>
      <c r="AL61" s="971"/>
      <c r="AM61" s="967"/>
      <c r="AN61" s="967"/>
      <c r="AO61" s="967"/>
    </row>
    <row r="62" spans="1:41">
      <c r="A62" s="17"/>
      <c r="B62" s="1145" t="s">
        <v>484</v>
      </c>
      <c r="C62" s="6"/>
      <c r="D62" s="6"/>
      <c r="E62" s="6"/>
      <c r="F62" s="6"/>
      <c r="G62" s="699"/>
      <c r="H62" s="16">
        <v>42625</v>
      </c>
      <c r="I62" s="6">
        <v>47784</v>
      </c>
      <c r="J62" s="16">
        <v>42625</v>
      </c>
      <c r="K62" s="6">
        <f t="shared" ref="K62:P62" si="69">+J62*1.04</f>
        <v>44330</v>
      </c>
      <c r="L62" s="6">
        <f t="shared" si="69"/>
        <v>46103.200000000004</v>
      </c>
      <c r="M62" s="16">
        <f t="shared" si="69"/>
        <v>47947.328000000009</v>
      </c>
      <c r="N62" s="6">
        <f t="shared" si="69"/>
        <v>49865.221120000009</v>
      </c>
      <c r="O62" s="6">
        <f t="shared" si="69"/>
        <v>51859.82996480001</v>
      </c>
      <c r="P62" s="6">
        <f t="shared" si="69"/>
        <v>53934.223163392009</v>
      </c>
      <c r="Q62" s="6">
        <f t="shared" si="66"/>
        <v>56091.59208992769</v>
      </c>
      <c r="R62" s="6">
        <f t="shared" si="66"/>
        <v>58335.255773524797</v>
      </c>
      <c r="S62" s="6">
        <f t="shared" si="66"/>
        <v>60668.666004465791</v>
      </c>
      <c r="T62" s="6">
        <f t="shared" si="66"/>
        <v>63095.412644644428</v>
      </c>
      <c r="U62" s="6">
        <f t="shared" si="66"/>
        <v>65619.229150430212</v>
      </c>
      <c r="V62" s="6">
        <f t="shared" si="67"/>
        <v>68243.998316447425</v>
      </c>
      <c r="W62" s="6">
        <f t="shared" si="67"/>
        <v>70973.758249105318</v>
      </c>
      <c r="X62" s="968"/>
      <c r="Z62" s="968"/>
      <c r="AA62" s="968"/>
      <c r="AB62" s="967"/>
      <c r="AC62" s="967"/>
      <c r="AD62" s="967"/>
      <c r="AE62" s="967"/>
      <c r="AF62" s="967"/>
      <c r="AG62" s="967"/>
      <c r="AH62" s="967"/>
      <c r="AI62" s="967"/>
      <c r="AJ62" s="967"/>
      <c r="AK62" s="967"/>
      <c r="AL62" s="971"/>
      <c r="AM62" s="967"/>
      <c r="AN62" s="967"/>
      <c r="AO62" s="967"/>
    </row>
    <row r="63" spans="1:41">
      <c r="A63" s="17"/>
      <c r="B63" s="1145" t="s">
        <v>485</v>
      </c>
      <c r="C63" s="6"/>
      <c r="D63" s="6"/>
      <c r="E63" s="6"/>
      <c r="F63" s="6"/>
      <c r="G63" s="699"/>
      <c r="H63" s="16">
        <v>596757</v>
      </c>
      <c r="I63" s="6">
        <v>668965</v>
      </c>
      <c r="J63" s="16">
        <v>596757</v>
      </c>
      <c r="K63" s="6">
        <f t="shared" ref="K63:P63" si="70">+J63*1.04</f>
        <v>620627.28</v>
      </c>
      <c r="L63" s="6">
        <f t="shared" si="70"/>
        <v>645452.37120000005</v>
      </c>
      <c r="M63" s="16">
        <f t="shared" si="70"/>
        <v>671270.46604800003</v>
      </c>
      <c r="N63" s="6">
        <f t="shared" si="70"/>
        <v>698121.28468992002</v>
      </c>
      <c r="O63" s="6">
        <f t="shared" si="70"/>
        <v>726046.13607751683</v>
      </c>
      <c r="P63" s="6">
        <f t="shared" si="70"/>
        <v>755087.9815206175</v>
      </c>
      <c r="Q63" s="6">
        <f t="shared" si="66"/>
        <v>785291.50078144227</v>
      </c>
      <c r="R63" s="6">
        <f t="shared" si="66"/>
        <v>816703.16081269993</v>
      </c>
      <c r="S63" s="6">
        <f t="shared" si="66"/>
        <v>849371.28724520793</v>
      </c>
      <c r="T63" s="6">
        <f t="shared" si="66"/>
        <v>883346.13873501623</v>
      </c>
      <c r="U63" s="6">
        <f t="shared" si="66"/>
        <v>918679.98428441689</v>
      </c>
      <c r="V63" s="6">
        <f t="shared" si="67"/>
        <v>955427.18365579355</v>
      </c>
      <c r="W63" s="6">
        <f t="shared" si="67"/>
        <v>993644.27100202534</v>
      </c>
      <c r="X63" s="968"/>
      <c r="Z63" s="968"/>
      <c r="AA63" s="968"/>
      <c r="AB63" s="967"/>
      <c r="AC63" s="967"/>
      <c r="AD63" s="967"/>
      <c r="AE63" s="967"/>
      <c r="AF63" s="967"/>
      <c r="AG63" s="967"/>
      <c r="AH63" s="967"/>
      <c r="AI63" s="967"/>
      <c r="AJ63" s="967"/>
      <c r="AK63" s="967"/>
      <c r="AL63" s="971"/>
      <c r="AM63" s="967"/>
      <c r="AN63" s="967"/>
      <c r="AO63" s="967"/>
    </row>
    <row r="64" spans="1:41" ht="22.5">
      <c r="A64" s="21" t="s">
        <v>893</v>
      </c>
      <c r="B64" s="1106" t="s">
        <v>894</v>
      </c>
      <c r="C64" s="6"/>
      <c r="D64" s="6"/>
      <c r="E64" s="6"/>
      <c r="F64" s="6">
        <v>78198</v>
      </c>
      <c r="G64" s="699">
        <f t="shared" ref="G64:P64" si="71">+F64*1.04</f>
        <v>81325.919999999998</v>
      </c>
      <c r="H64" s="699">
        <v>67776</v>
      </c>
      <c r="I64" s="699">
        <v>0</v>
      </c>
      <c r="J64" s="699">
        <f t="shared" si="71"/>
        <v>0</v>
      </c>
      <c r="K64" s="699">
        <f t="shared" si="71"/>
        <v>0</v>
      </c>
      <c r="L64" s="699">
        <f t="shared" si="71"/>
        <v>0</v>
      </c>
      <c r="M64" s="16">
        <v>79288</v>
      </c>
      <c r="N64" s="16">
        <f t="shared" si="71"/>
        <v>82459.520000000004</v>
      </c>
      <c r="O64" s="16">
        <f t="shared" si="71"/>
        <v>85757.900800000003</v>
      </c>
      <c r="P64" s="16">
        <f t="shared" si="71"/>
        <v>89188.216832000006</v>
      </c>
      <c r="Q64" s="16">
        <f t="shared" si="66"/>
        <v>92755.745505280007</v>
      </c>
      <c r="R64" s="16">
        <f t="shared" si="66"/>
        <v>96465.975325491207</v>
      </c>
      <c r="S64" s="16">
        <f t="shared" si="66"/>
        <v>100324.61433851086</v>
      </c>
      <c r="T64" s="16">
        <f t="shared" si="66"/>
        <v>104337.5989120513</v>
      </c>
      <c r="U64" s="16">
        <f t="shared" si="66"/>
        <v>108511.10286853336</v>
      </c>
      <c r="V64" s="16">
        <f t="shared" si="67"/>
        <v>112851.5469832747</v>
      </c>
      <c r="W64" s="16">
        <f t="shared" si="67"/>
        <v>117365.6088626057</v>
      </c>
      <c r="X64" s="968"/>
      <c r="Z64" s="968"/>
      <c r="AA64" s="968"/>
      <c r="AB64" s="967"/>
      <c r="AC64" s="967"/>
      <c r="AD64" s="967"/>
      <c r="AE64" s="967"/>
      <c r="AF64" s="967"/>
      <c r="AG64" s="967"/>
      <c r="AH64" s="967"/>
      <c r="AI64" s="967"/>
      <c r="AJ64" s="967"/>
      <c r="AK64" s="967"/>
      <c r="AL64" s="971"/>
      <c r="AM64" s="967"/>
      <c r="AN64" s="967"/>
      <c r="AO64" s="967"/>
    </row>
    <row r="65" spans="1:41" ht="22.5" hidden="1">
      <c r="A65" s="21" t="s">
        <v>895</v>
      </c>
      <c r="B65" s="1106" t="s">
        <v>927</v>
      </c>
      <c r="C65" s="6"/>
      <c r="D65" s="6"/>
      <c r="E65" s="6"/>
      <c r="F65" s="6">
        <v>0</v>
      </c>
      <c r="G65" s="6">
        <f t="shared" ref="G65:P65" si="72">+F65*1.04</f>
        <v>0</v>
      </c>
      <c r="H65" s="6">
        <v>0</v>
      </c>
      <c r="I65" s="6">
        <f t="shared" si="72"/>
        <v>0</v>
      </c>
      <c r="J65" s="6">
        <f t="shared" si="72"/>
        <v>0</v>
      </c>
      <c r="K65" s="6">
        <f t="shared" si="72"/>
        <v>0</v>
      </c>
      <c r="L65" s="6">
        <f t="shared" si="72"/>
        <v>0</v>
      </c>
      <c r="M65" s="16">
        <f t="shared" si="72"/>
        <v>0</v>
      </c>
      <c r="N65" s="6">
        <f t="shared" si="72"/>
        <v>0</v>
      </c>
      <c r="O65" s="6">
        <f t="shared" si="72"/>
        <v>0</v>
      </c>
      <c r="P65" s="6">
        <f t="shared" si="72"/>
        <v>0</v>
      </c>
      <c r="Q65" s="6">
        <f t="shared" si="66"/>
        <v>0</v>
      </c>
      <c r="R65" s="6">
        <f t="shared" si="66"/>
        <v>0</v>
      </c>
      <c r="S65" s="6">
        <f t="shared" si="66"/>
        <v>0</v>
      </c>
      <c r="T65" s="6">
        <f t="shared" si="66"/>
        <v>0</v>
      </c>
      <c r="U65" s="6">
        <f t="shared" si="66"/>
        <v>0</v>
      </c>
      <c r="V65" s="6">
        <f t="shared" si="67"/>
        <v>0</v>
      </c>
      <c r="W65" s="6">
        <f t="shared" si="67"/>
        <v>0</v>
      </c>
      <c r="X65" s="968"/>
      <c r="Z65" s="968"/>
      <c r="AA65" s="968"/>
      <c r="AB65" s="967"/>
      <c r="AC65" s="967"/>
      <c r="AD65" s="967"/>
      <c r="AE65" s="967"/>
      <c r="AF65" s="967"/>
      <c r="AG65" s="967"/>
      <c r="AH65" s="967"/>
      <c r="AI65" s="967"/>
      <c r="AJ65" s="967"/>
      <c r="AK65" s="967"/>
      <c r="AL65" s="971"/>
      <c r="AM65" s="967"/>
      <c r="AN65" s="967"/>
      <c r="AO65" s="967"/>
    </row>
    <row r="66" spans="1:41" ht="22.5">
      <c r="A66" s="17" t="s">
        <v>928</v>
      </c>
      <c r="B66" s="1108" t="s">
        <v>929</v>
      </c>
      <c r="C66" s="32">
        <f>SUM(C67:C69)</f>
        <v>0</v>
      </c>
      <c r="D66" s="32">
        <f t="shared" ref="D66:P66" si="73">SUM(D67:D69)</f>
        <v>0</v>
      </c>
      <c r="E66" s="32">
        <f t="shared" si="73"/>
        <v>0</v>
      </c>
      <c r="F66" s="32">
        <f t="shared" si="73"/>
        <v>0</v>
      </c>
      <c r="G66" s="32">
        <f t="shared" si="73"/>
        <v>0</v>
      </c>
      <c r="H66" s="32">
        <v>0</v>
      </c>
      <c r="I66" s="32">
        <f t="shared" si="73"/>
        <v>0</v>
      </c>
      <c r="J66" s="32">
        <f t="shared" si="73"/>
        <v>0</v>
      </c>
      <c r="K66" s="32">
        <f t="shared" si="73"/>
        <v>0</v>
      </c>
      <c r="L66" s="32">
        <f t="shared" si="73"/>
        <v>0</v>
      </c>
      <c r="M66" s="32">
        <f>SUM(M67:M69)</f>
        <v>1375937</v>
      </c>
      <c r="N66" s="32">
        <f t="shared" si="73"/>
        <v>1430974.48</v>
      </c>
      <c r="O66" s="32">
        <f t="shared" si="73"/>
        <v>1488213.4592000002</v>
      </c>
      <c r="P66" s="32">
        <f t="shared" si="73"/>
        <v>1547741.9975680001</v>
      </c>
      <c r="Q66" s="32">
        <f t="shared" ref="Q66:V66" si="74">SUM(Q67:Q69)</f>
        <v>1609651.6774707201</v>
      </c>
      <c r="R66" s="32">
        <f t="shared" si="74"/>
        <v>1674037.7445695489</v>
      </c>
      <c r="S66" s="32">
        <f t="shared" si="74"/>
        <v>1740999.2543523309</v>
      </c>
      <c r="T66" s="32">
        <f t="shared" si="74"/>
        <v>1810639.2245264242</v>
      </c>
      <c r="U66" s="32">
        <f t="shared" si="74"/>
        <v>1883064.7935074812</v>
      </c>
      <c r="V66" s="32">
        <f t="shared" si="74"/>
        <v>1958387.3852477805</v>
      </c>
      <c r="W66" s="32">
        <f>SUM(W67:W69)</f>
        <v>2036722.880657692</v>
      </c>
      <c r="X66" s="968"/>
      <c r="Z66" s="968"/>
      <c r="AA66" s="968"/>
      <c r="AB66" s="967"/>
      <c r="AC66" s="967"/>
      <c r="AD66" s="967"/>
      <c r="AE66" s="967"/>
      <c r="AF66" s="967"/>
      <c r="AG66" s="967"/>
      <c r="AH66" s="967"/>
      <c r="AI66" s="967"/>
      <c r="AJ66" s="967"/>
      <c r="AK66" s="967"/>
      <c r="AL66" s="971"/>
      <c r="AM66" s="967"/>
      <c r="AN66" s="967"/>
      <c r="AO66" s="967"/>
    </row>
    <row r="67" spans="1:41">
      <c r="A67" s="19" t="s">
        <v>930</v>
      </c>
      <c r="B67" s="1145" t="s">
        <v>931</v>
      </c>
      <c r="C67" s="6"/>
      <c r="D67" s="6"/>
      <c r="E67" s="6"/>
      <c r="F67" s="6">
        <v>0</v>
      </c>
      <c r="G67" s="6">
        <f t="shared" ref="G67:P67" si="75">+F67*1.04</f>
        <v>0</v>
      </c>
      <c r="H67" s="6">
        <v>0</v>
      </c>
      <c r="I67" s="6">
        <f t="shared" si="75"/>
        <v>0</v>
      </c>
      <c r="J67" s="6">
        <f t="shared" si="75"/>
        <v>0</v>
      </c>
      <c r="K67" s="6">
        <f t="shared" si="75"/>
        <v>0</v>
      </c>
      <c r="L67" s="6">
        <f t="shared" si="75"/>
        <v>0</v>
      </c>
      <c r="M67" s="16">
        <v>36000</v>
      </c>
      <c r="N67" s="6">
        <f t="shared" si="75"/>
        <v>37440</v>
      </c>
      <c r="O67" s="6">
        <f t="shared" si="75"/>
        <v>38937.599999999999</v>
      </c>
      <c r="P67" s="6">
        <f t="shared" si="75"/>
        <v>40495.103999999999</v>
      </c>
      <c r="Q67" s="6">
        <f t="shared" ref="Q67:U69" si="76">+P67*1.04</f>
        <v>42114.908159999999</v>
      </c>
      <c r="R67" s="6">
        <f t="shared" si="76"/>
        <v>43799.504486400001</v>
      </c>
      <c r="S67" s="6">
        <f t="shared" si="76"/>
        <v>45551.484665856005</v>
      </c>
      <c r="T67" s="6">
        <f t="shared" si="76"/>
        <v>47373.544052490244</v>
      </c>
      <c r="U67" s="6">
        <f t="shared" si="76"/>
        <v>49268.485814589854</v>
      </c>
      <c r="V67" s="6">
        <f t="shared" ref="V67:W69" si="77">+U67*1.04</f>
        <v>51239.225247173454</v>
      </c>
      <c r="W67" s="6">
        <f t="shared" si="77"/>
        <v>53288.794257060392</v>
      </c>
      <c r="X67" s="968"/>
      <c r="Z67" s="968"/>
      <c r="AA67" s="968"/>
      <c r="AB67" s="967"/>
      <c r="AC67" s="967"/>
      <c r="AD67" s="967"/>
      <c r="AE67" s="967"/>
      <c r="AF67" s="967"/>
      <c r="AG67" s="967"/>
      <c r="AH67" s="967"/>
      <c r="AI67" s="967"/>
      <c r="AJ67" s="967"/>
      <c r="AK67" s="967"/>
      <c r="AL67" s="971"/>
      <c r="AM67" s="967"/>
      <c r="AN67" s="967"/>
      <c r="AO67" s="967"/>
    </row>
    <row r="68" spans="1:41">
      <c r="A68" s="18" t="s">
        <v>932</v>
      </c>
      <c r="B68" s="1145" t="s">
        <v>933</v>
      </c>
      <c r="C68" s="6"/>
      <c r="D68" s="6"/>
      <c r="E68" s="6"/>
      <c r="F68" s="6">
        <v>0</v>
      </c>
      <c r="G68" s="6">
        <f t="shared" ref="G68:P68" si="78">+F68*1.04</f>
        <v>0</v>
      </c>
      <c r="H68" s="6">
        <v>0</v>
      </c>
      <c r="I68" s="6">
        <f t="shared" si="78"/>
        <v>0</v>
      </c>
      <c r="J68" s="6">
        <f t="shared" si="78"/>
        <v>0</v>
      </c>
      <c r="K68" s="6">
        <f t="shared" si="78"/>
        <v>0</v>
      </c>
      <c r="L68" s="6">
        <f t="shared" si="78"/>
        <v>0</v>
      </c>
      <c r="M68" s="16">
        <v>1339937</v>
      </c>
      <c r="N68" s="6">
        <f t="shared" si="78"/>
        <v>1393534.48</v>
      </c>
      <c r="O68" s="6">
        <f t="shared" si="78"/>
        <v>1449275.8592000001</v>
      </c>
      <c r="P68" s="6">
        <f t="shared" si="78"/>
        <v>1507246.8935680001</v>
      </c>
      <c r="Q68" s="6">
        <f t="shared" si="76"/>
        <v>1567536.76931072</v>
      </c>
      <c r="R68" s="6">
        <f t="shared" si="76"/>
        <v>1630238.2400831489</v>
      </c>
      <c r="S68" s="6">
        <f t="shared" si="76"/>
        <v>1695447.7696864749</v>
      </c>
      <c r="T68" s="6">
        <f t="shared" si="76"/>
        <v>1763265.6804739339</v>
      </c>
      <c r="U68" s="6">
        <f t="shared" si="76"/>
        <v>1833796.3076928915</v>
      </c>
      <c r="V68" s="6">
        <f t="shared" si="77"/>
        <v>1907148.1600006071</v>
      </c>
      <c r="W68" s="6">
        <f t="shared" si="77"/>
        <v>1983434.0864006316</v>
      </c>
      <c r="X68" s="968"/>
      <c r="Z68" s="968"/>
      <c r="AA68" s="968"/>
      <c r="AB68" s="967"/>
      <c r="AC68" s="967"/>
      <c r="AD68" s="967"/>
      <c r="AE68" s="967"/>
      <c r="AF68" s="967"/>
      <c r="AG68" s="967"/>
      <c r="AH68" s="967"/>
      <c r="AI68" s="967"/>
      <c r="AJ68" s="967"/>
      <c r="AK68" s="967"/>
      <c r="AL68" s="971"/>
      <c r="AM68" s="967"/>
      <c r="AN68" s="967"/>
      <c r="AO68" s="967"/>
    </row>
    <row r="69" spans="1:41" hidden="1">
      <c r="A69" s="18" t="s">
        <v>934</v>
      </c>
      <c r="B69" s="1145" t="s">
        <v>935</v>
      </c>
      <c r="C69" s="6"/>
      <c r="D69" s="6"/>
      <c r="E69" s="6"/>
      <c r="F69" s="6">
        <v>0</v>
      </c>
      <c r="G69" s="6">
        <f t="shared" ref="G69:P69" si="79">+F69*1.04</f>
        <v>0</v>
      </c>
      <c r="H69" s="6">
        <v>0</v>
      </c>
      <c r="I69" s="6">
        <f t="shared" si="79"/>
        <v>0</v>
      </c>
      <c r="J69" s="6">
        <f t="shared" si="79"/>
        <v>0</v>
      </c>
      <c r="K69" s="6">
        <f t="shared" si="79"/>
        <v>0</v>
      </c>
      <c r="L69" s="6">
        <f t="shared" si="79"/>
        <v>0</v>
      </c>
      <c r="M69" s="16">
        <f t="shared" si="79"/>
        <v>0</v>
      </c>
      <c r="N69" s="6">
        <f t="shared" si="79"/>
        <v>0</v>
      </c>
      <c r="O69" s="6">
        <f t="shared" si="79"/>
        <v>0</v>
      </c>
      <c r="P69" s="6">
        <f t="shared" si="79"/>
        <v>0</v>
      </c>
      <c r="Q69" s="6">
        <f t="shared" si="76"/>
        <v>0</v>
      </c>
      <c r="R69" s="6">
        <f t="shared" si="76"/>
        <v>0</v>
      </c>
      <c r="S69" s="6">
        <f t="shared" si="76"/>
        <v>0</v>
      </c>
      <c r="T69" s="6">
        <f t="shared" si="76"/>
        <v>0</v>
      </c>
      <c r="U69" s="6">
        <f t="shared" si="76"/>
        <v>0</v>
      </c>
      <c r="V69" s="6">
        <f t="shared" si="77"/>
        <v>0</v>
      </c>
      <c r="W69" s="6">
        <f t="shared" si="77"/>
        <v>0</v>
      </c>
      <c r="X69" s="968"/>
      <c r="Z69" s="968"/>
      <c r="AA69" s="968"/>
      <c r="AB69" s="967"/>
      <c r="AC69" s="967"/>
      <c r="AD69" s="967"/>
      <c r="AE69" s="967"/>
      <c r="AF69" s="967"/>
      <c r="AG69" s="967"/>
      <c r="AH69" s="967"/>
      <c r="AI69" s="967"/>
      <c r="AJ69" s="967"/>
      <c r="AK69" s="967"/>
      <c r="AL69" s="971"/>
      <c r="AM69" s="967"/>
      <c r="AN69" s="967"/>
      <c r="AO69" s="967"/>
    </row>
    <row r="70" spans="1:41" hidden="1">
      <c r="A70" s="17" t="s">
        <v>936</v>
      </c>
      <c r="B70" s="1108" t="s">
        <v>937</v>
      </c>
      <c r="C70" s="32">
        <f>SUM(C71:C73)</f>
        <v>0</v>
      </c>
      <c r="D70" s="32">
        <f t="shared" ref="D70:P70" si="80">SUM(D71:D73)</f>
        <v>0</v>
      </c>
      <c r="E70" s="32">
        <f t="shared" si="80"/>
        <v>0</v>
      </c>
      <c r="F70" s="32">
        <f t="shared" si="80"/>
        <v>7000</v>
      </c>
      <c r="G70" s="32">
        <f t="shared" si="80"/>
        <v>7280</v>
      </c>
      <c r="H70" s="32">
        <v>7571.2</v>
      </c>
      <c r="I70" s="32">
        <f t="shared" si="80"/>
        <v>0</v>
      </c>
      <c r="J70" s="32">
        <f t="shared" si="80"/>
        <v>0</v>
      </c>
      <c r="K70" s="32">
        <f t="shared" si="80"/>
        <v>0</v>
      </c>
      <c r="L70" s="32">
        <f t="shared" si="80"/>
        <v>0</v>
      </c>
      <c r="M70" s="32">
        <f t="shared" si="80"/>
        <v>0</v>
      </c>
      <c r="N70" s="32">
        <f t="shared" si="80"/>
        <v>0</v>
      </c>
      <c r="O70" s="32">
        <f t="shared" si="80"/>
        <v>0</v>
      </c>
      <c r="P70" s="32">
        <f t="shared" si="80"/>
        <v>0</v>
      </c>
      <c r="Q70" s="32">
        <f t="shared" ref="Q70:V70" si="81">SUM(Q71:Q73)</f>
        <v>0</v>
      </c>
      <c r="R70" s="32">
        <f t="shared" si="81"/>
        <v>0</v>
      </c>
      <c r="S70" s="32">
        <f t="shared" si="81"/>
        <v>0</v>
      </c>
      <c r="T70" s="32">
        <f t="shared" si="81"/>
        <v>0</v>
      </c>
      <c r="U70" s="32">
        <f t="shared" si="81"/>
        <v>0</v>
      </c>
      <c r="V70" s="32">
        <f t="shared" si="81"/>
        <v>0</v>
      </c>
      <c r="W70" s="32">
        <f>SUM(W71:W73)</f>
        <v>0</v>
      </c>
      <c r="X70" s="968"/>
      <c r="Z70" s="968"/>
      <c r="AA70" s="968"/>
      <c r="AB70" s="967"/>
      <c r="AC70" s="967"/>
      <c r="AD70" s="967"/>
      <c r="AE70" s="967"/>
      <c r="AF70" s="967"/>
      <c r="AG70" s="967"/>
      <c r="AH70" s="967"/>
      <c r="AI70" s="967"/>
      <c r="AJ70" s="967"/>
      <c r="AK70" s="967"/>
      <c r="AL70" s="971"/>
      <c r="AM70" s="967"/>
      <c r="AN70" s="967"/>
      <c r="AO70" s="967"/>
    </row>
    <row r="71" spans="1:41" hidden="1">
      <c r="A71" s="18" t="s">
        <v>938</v>
      </c>
      <c r="B71" s="1107" t="s">
        <v>939</v>
      </c>
      <c r="C71" s="6"/>
      <c r="D71" s="6"/>
      <c r="E71" s="6"/>
      <c r="F71" s="6">
        <v>0</v>
      </c>
      <c r="G71" s="6">
        <f t="shared" ref="G71:P71" si="82">+F71*1.04</f>
        <v>0</v>
      </c>
      <c r="H71" s="6">
        <v>0</v>
      </c>
      <c r="I71" s="6">
        <f t="shared" si="82"/>
        <v>0</v>
      </c>
      <c r="J71" s="6">
        <f t="shared" si="82"/>
        <v>0</v>
      </c>
      <c r="K71" s="6">
        <f t="shared" si="82"/>
        <v>0</v>
      </c>
      <c r="L71" s="6">
        <f t="shared" si="82"/>
        <v>0</v>
      </c>
      <c r="M71" s="16">
        <f t="shared" si="82"/>
        <v>0</v>
      </c>
      <c r="N71" s="6">
        <f t="shared" si="82"/>
        <v>0</v>
      </c>
      <c r="O71" s="6">
        <f t="shared" si="82"/>
        <v>0</v>
      </c>
      <c r="P71" s="6">
        <f t="shared" si="82"/>
        <v>0</v>
      </c>
      <c r="Q71" s="6">
        <f t="shared" ref="Q71:U73" si="83">+P71*1.04</f>
        <v>0</v>
      </c>
      <c r="R71" s="6">
        <f t="shared" si="83"/>
        <v>0</v>
      </c>
      <c r="S71" s="6">
        <f t="shared" si="83"/>
        <v>0</v>
      </c>
      <c r="T71" s="6">
        <f t="shared" si="83"/>
        <v>0</v>
      </c>
      <c r="U71" s="6">
        <f t="shared" si="83"/>
        <v>0</v>
      </c>
      <c r="V71" s="6">
        <f t="shared" ref="V71:W73" si="84">+U71*1.04</f>
        <v>0</v>
      </c>
      <c r="W71" s="6">
        <f t="shared" si="84"/>
        <v>0</v>
      </c>
      <c r="X71" s="968"/>
      <c r="Z71" s="968"/>
      <c r="AA71" s="968"/>
      <c r="AB71" s="967"/>
      <c r="AC71" s="967"/>
      <c r="AD71" s="967"/>
      <c r="AE71" s="967"/>
      <c r="AF71" s="967"/>
      <c r="AG71" s="967"/>
      <c r="AH71" s="967"/>
      <c r="AI71" s="967"/>
      <c r="AJ71" s="967"/>
      <c r="AK71" s="967"/>
      <c r="AL71" s="971"/>
      <c r="AM71" s="967"/>
      <c r="AN71" s="967"/>
      <c r="AO71" s="967"/>
    </row>
    <row r="72" spans="1:41" hidden="1">
      <c r="A72" s="18" t="s">
        <v>940</v>
      </c>
      <c r="B72" s="1145" t="s">
        <v>941</v>
      </c>
      <c r="C72" s="6"/>
      <c r="D72" s="6"/>
      <c r="E72" s="6"/>
      <c r="F72" s="6">
        <v>7000</v>
      </c>
      <c r="G72" s="6">
        <f t="shared" ref="G72:P72" si="85">+F72*1.04</f>
        <v>7280</v>
      </c>
      <c r="H72" s="6">
        <v>7571.2</v>
      </c>
      <c r="I72" s="6">
        <v>0</v>
      </c>
      <c r="J72" s="6">
        <f>+I72*1.04</f>
        <v>0</v>
      </c>
      <c r="K72" s="6">
        <f t="shared" si="85"/>
        <v>0</v>
      </c>
      <c r="L72" s="6">
        <f t="shared" si="85"/>
        <v>0</v>
      </c>
      <c r="M72" s="16">
        <f t="shared" si="85"/>
        <v>0</v>
      </c>
      <c r="N72" s="6">
        <f t="shared" si="85"/>
        <v>0</v>
      </c>
      <c r="O72" s="6">
        <f t="shared" si="85"/>
        <v>0</v>
      </c>
      <c r="P72" s="6">
        <f t="shared" si="85"/>
        <v>0</v>
      </c>
      <c r="Q72" s="6">
        <f t="shared" si="83"/>
        <v>0</v>
      </c>
      <c r="R72" s="6">
        <f t="shared" si="83"/>
        <v>0</v>
      </c>
      <c r="S72" s="6">
        <f t="shared" si="83"/>
        <v>0</v>
      </c>
      <c r="T72" s="6">
        <f t="shared" si="83"/>
        <v>0</v>
      </c>
      <c r="U72" s="6">
        <f t="shared" si="83"/>
        <v>0</v>
      </c>
      <c r="V72" s="6">
        <f t="shared" si="84"/>
        <v>0</v>
      </c>
      <c r="W72" s="6">
        <f t="shared" si="84"/>
        <v>0</v>
      </c>
      <c r="X72" s="968"/>
      <c r="Z72" s="968"/>
      <c r="AA72" s="968"/>
      <c r="AB72" s="967"/>
      <c r="AC72" s="967"/>
      <c r="AD72" s="967"/>
      <c r="AE72" s="967"/>
      <c r="AF72" s="967"/>
      <c r="AG72" s="967"/>
      <c r="AH72" s="967"/>
      <c r="AI72" s="967"/>
      <c r="AJ72" s="967"/>
      <c r="AK72" s="967"/>
      <c r="AL72" s="971"/>
      <c r="AM72" s="967"/>
      <c r="AN72" s="967"/>
      <c r="AO72" s="967"/>
    </row>
    <row r="73" spans="1:41" hidden="1">
      <c r="A73" s="18" t="s">
        <v>942</v>
      </c>
      <c r="B73" s="1145" t="s">
        <v>943</v>
      </c>
      <c r="C73" s="6"/>
      <c r="D73" s="6"/>
      <c r="E73" s="6"/>
      <c r="F73" s="6">
        <v>0</v>
      </c>
      <c r="G73" s="6">
        <f t="shared" ref="G73:P73" si="86">+F73*1.04</f>
        <v>0</v>
      </c>
      <c r="H73" s="6">
        <v>0</v>
      </c>
      <c r="I73" s="6">
        <f t="shared" si="86"/>
        <v>0</v>
      </c>
      <c r="J73" s="6">
        <f t="shared" si="86"/>
        <v>0</v>
      </c>
      <c r="K73" s="6">
        <f t="shared" si="86"/>
        <v>0</v>
      </c>
      <c r="L73" s="6">
        <f t="shared" si="86"/>
        <v>0</v>
      </c>
      <c r="M73" s="16">
        <f t="shared" si="86"/>
        <v>0</v>
      </c>
      <c r="N73" s="6">
        <f t="shared" si="86"/>
        <v>0</v>
      </c>
      <c r="O73" s="6">
        <f t="shared" si="86"/>
        <v>0</v>
      </c>
      <c r="P73" s="6">
        <f t="shared" si="86"/>
        <v>0</v>
      </c>
      <c r="Q73" s="6">
        <f t="shared" si="83"/>
        <v>0</v>
      </c>
      <c r="R73" s="6">
        <f t="shared" si="83"/>
        <v>0</v>
      </c>
      <c r="S73" s="6">
        <f t="shared" si="83"/>
        <v>0</v>
      </c>
      <c r="T73" s="6">
        <f t="shared" si="83"/>
        <v>0</v>
      </c>
      <c r="U73" s="6">
        <f t="shared" si="83"/>
        <v>0</v>
      </c>
      <c r="V73" s="6">
        <f t="shared" si="84"/>
        <v>0</v>
      </c>
      <c r="W73" s="6">
        <f t="shared" si="84"/>
        <v>0</v>
      </c>
      <c r="X73" s="968"/>
      <c r="Z73" s="968"/>
      <c r="AA73" s="968"/>
      <c r="AB73" s="967"/>
      <c r="AC73" s="967"/>
      <c r="AD73" s="967"/>
      <c r="AE73" s="967"/>
      <c r="AF73" s="967"/>
      <c r="AG73" s="967"/>
      <c r="AH73" s="967"/>
      <c r="AI73" s="967"/>
      <c r="AJ73" s="967"/>
      <c r="AK73" s="967"/>
      <c r="AL73" s="971"/>
      <c r="AM73" s="967"/>
      <c r="AN73" s="967"/>
      <c r="AO73" s="967"/>
    </row>
    <row r="74" spans="1:41">
      <c r="A74" s="21" t="s">
        <v>944</v>
      </c>
      <c r="B74" s="1108" t="s">
        <v>945</v>
      </c>
      <c r="C74" s="32">
        <f>SUM(C75:C77)</f>
        <v>0</v>
      </c>
      <c r="D74" s="32">
        <f t="shared" ref="D74:P74" si="87">SUM(D75:D77)</f>
        <v>0</v>
      </c>
      <c r="E74" s="32">
        <f t="shared" si="87"/>
        <v>0</v>
      </c>
      <c r="F74" s="32">
        <f t="shared" si="87"/>
        <v>709643</v>
      </c>
      <c r="G74" s="32">
        <f t="shared" si="87"/>
        <v>0</v>
      </c>
      <c r="H74" s="32">
        <v>0</v>
      </c>
      <c r="I74" s="32">
        <f t="shared" si="87"/>
        <v>0</v>
      </c>
      <c r="J74" s="32">
        <f t="shared" si="87"/>
        <v>0</v>
      </c>
      <c r="K74" s="32">
        <f t="shared" si="87"/>
        <v>0</v>
      </c>
      <c r="L74" s="32">
        <f t="shared" si="87"/>
        <v>0</v>
      </c>
      <c r="M74" s="32">
        <f t="shared" si="87"/>
        <v>202475</v>
      </c>
      <c r="N74" s="32">
        <f t="shared" si="87"/>
        <v>210574</v>
      </c>
      <c r="O74" s="32">
        <f t="shared" si="87"/>
        <v>218996.96000000002</v>
      </c>
      <c r="P74" s="32">
        <f t="shared" si="87"/>
        <v>227756.83840000001</v>
      </c>
      <c r="Q74" s="32">
        <f t="shared" ref="Q74:V74" si="88">SUM(Q75:Q77)</f>
        <v>236867.111936</v>
      </c>
      <c r="R74" s="32">
        <f t="shared" si="88"/>
        <v>246341.79641344002</v>
      </c>
      <c r="S74" s="32">
        <f t="shared" si="88"/>
        <v>256195.4682699776</v>
      </c>
      <c r="T74" s="32">
        <f t="shared" si="88"/>
        <v>266443.28700077673</v>
      </c>
      <c r="U74" s="32">
        <f t="shared" si="88"/>
        <v>277101.01848080778</v>
      </c>
      <c r="V74" s="32">
        <f t="shared" si="88"/>
        <v>288185.0592200401</v>
      </c>
      <c r="W74" s="32">
        <f>SUM(W75:W77)</f>
        <v>299712.46158884175</v>
      </c>
      <c r="X74" s="968"/>
      <c r="Z74" s="968"/>
      <c r="AA74" s="968"/>
      <c r="AB74" s="967"/>
      <c r="AC74" s="967"/>
      <c r="AD74" s="967"/>
      <c r="AE74" s="967"/>
      <c r="AF74" s="967"/>
      <c r="AG74" s="967"/>
      <c r="AH74" s="967"/>
      <c r="AI74" s="967"/>
      <c r="AJ74" s="967"/>
      <c r="AK74" s="967"/>
      <c r="AL74" s="971"/>
      <c r="AM74" s="967"/>
      <c r="AN74" s="967"/>
      <c r="AO74" s="967"/>
    </row>
    <row r="75" spans="1:41" hidden="1">
      <c r="A75" s="18" t="s">
        <v>946</v>
      </c>
      <c r="B75" s="1145" t="s">
        <v>947</v>
      </c>
      <c r="C75" s="6"/>
      <c r="D75" s="6"/>
      <c r="E75" s="6"/>
      <c r="F75" s="6">
        <v>0</v>
      </c>
      <c r="G75" s="6">
        <f t="shared" ref="G75:P75" si="89">+F75*1.04</f>
        <v>0</v>
      </c>
      <c r="H75" s="6">
        <v>0</v>
      </c>
      <c r="I75" s="6">
        <f t="shared" si="89"/>
        <v>0</v>
      </c>
      <c r="J75" s="6">
        <f t="shared" si="89"/>
        <v>0</v>
      </c>
      <c r="K75" s="6">
        <f t="shared" si="89"/>
        <v>0</v>
      </c>
      <c r="L75" s="6">
        <f t="shared" si="89"/>
        <v>0</v>
      </c>
      <c r="M75" s="16">
        <f t="shared" si="89"/>
        <v>0</v>
      </c>
      <c r="N75" s="6">
        <f t="shared" si="89"/>
        <v>0</v>
      </c>
      <c r="O75" s="6">
        <f t="shared" si="89"/>
        <v>0</v>
      </c>
      <c r="P75" s="6">
        <f t="shared" si="89"/>
        <v>0</v>
      </c>
      <c r="Q75" s="6">
        <f t="shared" ref="Q75:U78" si="90">+P75*1.04</f>
        <v>0</v>
      </c>
      <c r="R75" s="6">
        <f t="shared" si="90"/>
        <v>0</v>
      </c>
      <c r="S75" s="6">
        <f t="shared" si="90"/>
        <v>0</v>
      </c>
      <c r="T75" s="6">
        <f t="shared" si="90"/>
        <v>0</v>
      </c>
      <c r="U75" s="6">
        <f t="shared" si="90"/>
        <v>0</v>
      </c>
      <c r="V75" s="6">
        <f t="shared" ref="V75:W78" si="91">+U75*1.04</f>
        <v>0</v>
      </c>
      <c r="W75" s="6">
        <f t="shared" si="91"/>
        <v>0</v>
      </c>
      <c r="X75" s="968"/>
      <c r="Z75" s="968"/>
      <c r="AA75" s="968"/>
      <c r="AB75" s="967"/>
      <c r="AC75" s="967"/>
      <c r="AD75" s="967"/>
      <c r="AE75" s="967"/>
      <c r="AF75" s="967"/>
      <c r="AG75" s="967"/>
      <c r="AH75" s="967"/>
      <c r="AI75" s="967"/>
      <c r="AJ75" s="967"/>
      <c r="AK75" s="967"/>
      <c r="AL75" s="971"/>
      <c r="AM75" s="967"/>
      <c r="AN75" s="967"/>
      <c r="AO75" s="967"/>
    </row>
    <row r="76" spans="1:41">
      <c r="A76" s="18" t="s">
        <v>948</v>
      </c>
      <c r="B76" s="1145" t="s">
        <v>949</v>
      </c>
      <c r="C76" s="6"/>
      <c r="D76" s="6"/>
      <c r="E76" s="6"/>
      <c r="F76" s="6">
        <v>0</v>
      </c>
      <c r="G76" s="6">
        <f t="shared" ref="G76:P76" si="92">+F76*1.04</f>
        <v>0</v>
      </c>
      <c r="H76" s="6">
        <v>0</v>
      </c>
      <c r="I76" s="6">
        <f t="shared" si="92"/>
        <v>0</v>
      </c>
      <c r="J76" s="6">
        <f t="shared" si="92"/>
        <v>0</v>
      </c>
      <c r="K76" s="6">
        <f t="shared" si="92"/>
        <v>0</v>
      </c>
      <c r="L76" s="6">
        <f t="shared" si="92"/>
        <v>0</v>
      </c>
      <c r="M76" s="16">
        <v>112486</v>
      </c>
      <c r="N76" s="6">
        <f t="shared" si="92"/>
        <v>116985.44</v>
      </c>
      <c r="O76" s="6">
        <f t="shared" si="92"/>
        <v>121664.8576</v>
      </c>
      <c r="P76" s="6">
        <f t="shared" si="92"/>
        <v>126531.451904</v>
      </c>
      <c r="Q76" s="6">
        <f t="shared" si="90"/>
        <v>131592.70998016</v>
      </c>
      <c r="R76" s="6">
        <f t="shared" si="90"/>
        <v>136856.4183793664</v>
      </c>
      <c r="S76" s="6">
        <f t="shared" si="90"/>
        <v>142330.67511454105</v>
      </c>
      <c r="T76" s="6">
        <f t="shared" si="90"/>
        <v>148023.90211912271</v>
      </c>
      <c r="U76" s="6">
        <f t="shared" si="90"/>
        <v>153944.85820388762</v>
      </c>
      <c r="V76" s="6">
        <f t="shared" si="91"/>
        <v>160102.65253204314</v>
      </c>
      <c r="W76" s="6">
        <f t="shared" si="91"/>
        <v>166506.75863332488</v>
      </c>
      <c r="X76" s="968"/>
      <c r="Z76" s="968"/>
      <c r="AA76" s="968"/>
      <c r="AB76" s="967"/>
      <c r="AC76" s="967"/>
      <c r="AD76" s="967"/>
      <c r="AE76" s="967"/>
      <c r="AF76" s="967"/>
      <c r="AG76" s="967"/>
      <c r="AH76" s="967"/>
      <c r="AI76" s="967"/>
      <c r="AJ76" s="967"/>
      <c r="AK76" s="967"/>
      <c r="AL76" s="971"/>
      <c r="AM76" s="967"/>
      <c r="AN76" s="967"/>
      <c r="AO76" s="967"/>
    </row>
    <row r="77" spans="1:41" ht="22.5">
      <c r="A77" s="21" t="s">
        <v>950</v>
      </c>
      <c r="B77" s="1145" t="s">
        <v>1350</v>
      </c>
      <c r="C77" s="6"/>
      <c r="D77" s="6"/>
      <c r="E77" s="6"/>
      <c r="F77" s="6">
        <v>709643</v>
      </c>
      <c r="G77" s="6">
        <v>0</v>
      </c>
      <c r="H77" s="6">
        <v>0</v>
      </c>
      <c r="I77" s="6">
        <f t="shared" ref="I77:P77" si="93">+H77*1.04</f>
        <v>0</v>
      </c>
      <c r="J77" s="6">
        <f t="shared" si="93"/>
        <v>0</v>
      </c>
      <c r="K77" s="6">
        <f t="shared" si="93"/>
        <v>0</v>
      </c>
      <c r="L77" s="6">
        <f t="shared" si="93"/>
        <v>0</v>
      </c>
      <c r="M77" s="16">
        <v>89989</v>
      </c>
      <c r="N77" s="6">
        <f t="shared" si="93"/>
        <v>93588.56</v>
      </c>
      <c r="O77" s="6">
        <f t="shared" si="93"/>
        <v>97332.102400000003</v>
      </c>
      <c r="P77" s="6">
        <f t="shared" si="93"/>
        <v>101225.38649600001</v>
      </c>
      <c r="Q77" s="6">
        <f t="shared" si="90"/>
        <v>105274.40195584</v>
      </c>
      <c r="R77" s="6">
        <f t="shared" si="90"/>
        <v>109485.37803407361</v>
      </c>
      <c r="S77" s="6">
        <f t="shared" si="90"/>
        <v>113864.79315543656</v>
      </c>
      <c r="T77" s="6">
        <f t="shared" si="90"/>
        <v>118419.38488165403</v>
      </c>
      <c r="U77" s="6">
        <f t="shared" si="90"/>
        <v>123156.16027692019</v>
      </c>
      <c r="V77" s="6">
        <f t="shared" si="91"/>
        <v>128082.40668799699</v>
      </c>
      <c r="W77" s="6">
        <f t="shared" si="91"/>
        <v>133205.70295551687</v>
      </c>
      <c r="X77" s="968"/>
      <c r="Z77" s="968"/>
      <c r="AA77" s="968"/>
      <c r="AB77" s="967"/>
      <c r="AC77" s="967"/>
      <c r="AD77" s="967"/>
      <c r="AE77" s="967"/>
      <c r="AF77" s="967"/>
      <c r="AG77" s="967"/>
      <c r="AH77" s="967"/>
      <c r="AI77" s="967"/>
      <c r="AJ77" s="967"/>
      <c r="AK77" s="967"/>
      <c r="AL77" s="971"/>
      <c r="AM77" s="967"/>
      <c r="AN77" s="967"/>
      <c r="AO77" s="967"/>
    </row>
    <row r="78" spans="1:41" ht="11.25" customHeight="1">
      <c r="A78" s="17" t="s">
        <v>952</v>
      </c>
      <c r="B78" s="1108" t="s">
        <v>953</v>
      </c>
      <c r="C78" s="6"/>
      <c r="D78" s="6"/>
      <c r="E78" s="6"/>
      <c r="F78" s="6">
        <v>0</v>
      </c>
      <c r="G78" s="6">
        <f t="shared" ref="G78:P78" si="94">+F78*1.04</f>
        <v>0</v>
      </c>
      <c r="H78" s="6">
        <v>0</v>
      </c>
      <c r="I78" s="6">
        <f t="shared" si="94"/>
        <v>0</v>
      </c>
      <c r="J78" s="6">
        <f t="shared" si="94"/>
        <v>0</v>
      </c>
      <c r="K78" s="6">
        <f t="shared" si="94"/>
        <v>0</v>
      </c>
      <c r="L78" s="6">
        <f t="shared" si="94"/>
        <v>0</v>
      </c>
      <c r="M78" s="16">
        <f t="shared" si="94"/>
        <v>0</v>
      </c>
      <c r="N78" s="6">
        <f t="shared" si="94"/>
        <v>0</v>
      </c>
      <c r="O78" s="6">
        <f t="shared" si="94"/>
        <v>0</v>
      </c>
      <c r="P78" s="6">
        <f t="shared" si="94"/>
        <v>0</v>
      </c>
      <c r="Q78" s="6">
        <f t="shared" si="90"/>
        <v>0</v>
      </c>
      <c r="R78" s="6">
        <f t="shared" si="90"/>
        <v>0</v>
      </c>
      <c r="S78" s="6">
        <f t="shared" si="90"/>
        <v>0</v>
      </c>
      <c r="T78" s="6">
        <f t="shared" si="90"/>
        <v>0</v>
      </c>
      <c r="U78" s="6">
        <f t="shared" si="90"/>
        <v>0</v>
      </c>
      <c r="V78" s="6">
        <f t="shared" si="91"/>
        <v>0</v>
      </c>
      <c r="W78" s="6">
        <f t="shared" si="91"/>
        <v>0</v>
      </c>
      <c r="X78" s="968"/>
      <c r="Z78" s="968"/>
      <c r="AA78" s="968"/>
      <c r="AB78" s="967"/>
      <c r="AC78" s="967"/>
      <c r="AD78" s="967"/>
      <c r="AE78" s="967"/>
      <c r="AF78" s="967"/>
      <c r="AG78" s="967"/>
      <c r="AH78" s="967"/>
      <c r="AI78" s="967"/>
      <c r="AJ78" s="967"/>
      <c r="AK78" s="967"/>
      <c r="AL78" s="971"/>
      <c r="AM78" s="967"/>
      <c r="AN78" s="967"/>
      <c r="AO78" s="967"/>
    </row>
    <row r="79" spans="1:41">
      <c r="A79" s="21" t="s">
        <v>954</v>
      </c>
      <c r="B79" s="1108" t="s">
        <v>955</v>
      </c>
      <c r="C79" s="32" t="e">
        <f>+C80+C81+C82+C91+C103+C114+C115+C116+C119+C120+C121</f>
        <v>#REF!</v>
      </c>
      <c r="D79" s="32" t="e">
        <f>+D80+D81+D82+D91+D103+D114+D115+D116+D119+D120+D121</f>
        <v>#REF!</v>
      </c>
      <c r="E79" s="32" t="e">
        <f>+E80+E81+E82+E91+E103+E114+E115+E116+E119+E120+E121</f>
        <v>#REF!</v>
      </c>
      <c r="F79" s="32" t="e">
        <f>+F80+F81+F82+F91+F103+F114+F115+F116+F119+F120+F121</f>
        <v>#REF!</v>
      </c>
      <c r="G79" s="32" t="e">
        <f>+G80+G81+G82+G91+G103+G114+G115+G116+G119+G120+G121</f>
        <v>#REF!</v>
      </c>
      <c r="H79" s="32">
        <v>28662.400000000001</v>
      </c>
      <c r="I79" s="32">
        <f t="shared" ref="I79:P79" si="95">+I80+I81+I82+I91+I103+I114+I115+I116+I119+I120+I121</f>
        <v>562</v>
      </c>
      <c r="J79" s="32">
        <f t="shared" si="95"/>
        <v>5000</v>
      </c>
      <c r="K79" s="32">
        <f t="shared" si="95"/>
        <v>5200</v>
      </c>
      <c r="L79" s="32">
        <f t="shared" si="95"/>
        <v>5408</v>
      </c>
      <c r="M79" s="32">
        <f t="shared" si="95"/>
        <v>5625</v>
      </c>
      <c r="N79" s="32">
        <f t="shared" si="95"/>
        <v>5850</v>
      </c>
      <c r="O79" s="32">
        <f t="shared" si="95"/>
        <v>6084</v>
      </c>
      <c r="P79" s="32">
        <f t="shared" si="95"/>
        <v>6327.3600000000006</v>
      </c>
      <c r="Q79" s="32">
        <f t="shared" ref="Q79:V79" si="96">+Q80+Q81+Q82+Q91+Q103+Q114+Q115+Q116+Q119+Q120+Q121</f>
        <v>6580.4544000000005</v>
      </c>
      <c r="R79" s="32">
        <f t="shared" si="96"/>
        <v>6843.6725760000008</v>
      </c>
      <c r="S79" s="32">
        <f t="shared" si="96"/>
        <v>7117.4194790400015</v>
      </c>
      <c r="T79" s="32">
        <f t="shared" si="96"/>
        <v>7402.1162582016022</v>
      </c>
      <c r="U79" s="32">
        <f t="shared" si="96"/>
        <v>7698.2009085296668</v>
      </c>
      <c r="V79" s="32">
        <f t="shared" si="96"/>
        <v>8006.128944870854</v>
      </c>
      <c r="W79" s="32">
        <f>+W80+W81+W82+W91+W103+W114+W115+W116+W119+W120+W121</f>
        <v>8326.374102665688</v>
      </c>
      <c r="X79" s="968"/>
      <c r="Z79" s="968"/>
      <c r="AA79" s="968"/>
      <c r="AB79" s="967"/>
      <c r="AC79" s="967"/>
      <c r="AD79" s="967"/>
      <c r="AE79" s="967"/>
      <c r="AF79" s="967"/>
      <c r="AG79" s="967"/>
      <c r="AH79" s="967"/>
      <c r="AI79" s="967"/>
      <c r="AJ79" s="967"/>
      <c r="AK79" s="967"/>
      <c r="AL79" s="971"/>
      <c r="AM79" s="967"/>
      <c r="AN79" s="967"/>
      <c r="AO79" s="967"/>
    </row>
    <row r="80" spans="1:41" ht="27" customHeight="1" thickBot="1">
      <c r="A80" s="18" t="s">
        <v>956</v>
      </c>
      <c r="B80" s="1146" t="s">
        <v>904</v>
      </c>
      <c r="C80" s="70"/>
      <c r="D80" s="70"/>
      <c r="E80" s="70"/>
      <c r="F80" s="70">
        <f>6000+20000</f>
        <v>26000</v>
      </c>
      <c r="G80" s="70">
        <f t="shared" ref="G80:P80" si="97">+F80*1.04</f>
        <v>27040</v>
      </c>
      <c r="H80" s="70">
        <v>28121.599999999999</v>
      </c>
      <c r="I80" s="70">
        <v>562</v>
      </c>
      <c r="J80" s="70">
        <v>5000</v>
      </c>
      <c r="K80" s="70">
        <f t="shared" si="97"/>
        <v>5200</v>
      </c>
      <c r="L80" s="70">
        <f t="shared" si="97"/>
        <v>5408</v>
      </c>
      <c r="M80" s="757">
        <v>5625</v>
      </c>
      <c r="N80" s="70">
        <f t="shared" si="97"/>
        <v>5850</v>
      </c>
      <c r="O80" s="70">
        <f t="shared" si="97"/>
        <v>6084</v>
      </c>
      <c r="P80" s="70">
        <f t="shared" si="97"/>
        <v>6327.3600000000006</v>
      </c>
      <c r="Q80" s="70">
        <f t="shared" ref="Q80:V80" si="98">+P80*1.04</f>
        <v>6580.4544000000005</v>
      </c>
      <c r="R80" s="70">
        <f t="shared" si="98"/>
        <v>6843.6725760000008</v>
      </c>
      <c r="S80" s="70">
        <f t="shared" si="98"/>
        <v>7117.4194790400015</v>
      </c>
      <c r="T80" s="70">
        <f t="shared" si="98"/>
        <v>7402.1162582016022</v>
      </c>
      <c r="U80" s="70">
        <f t="shared" si="98"/>
        <v>7698.2009085296668</v>
      </c>
      <c r="V80" s="70">
        <f t="shared" si="98"/>
        <v>8006.128944870854</v>
      </c>
      <c r="W80" s="70">
        <f>+V80*1.04</f>
        <v>8326.374102665688</v>
      </c>
      <c r="X80" s="968"/>
      <c r="Z80" s="968"/>
      <c r="AA80" s="968"/>
      <c r="AB80" s="967"/>
      <c r="AC80" s="967"/>
      <c r="AD80" s="967"/>
      <c r="AE80" s="967"/>
      <c r="AF80" s="967"/>
      <c r="AG80" s="967"/>
      <c r="AH80" s="967"/>
      <c r="AI80" s="967"/>
      <c r="AJ80" s="967"/>
      <c r="AK80" s="967"/>
      <c r="AL80" s="971"/>
      <c r="AM80" s="967"/>
      <c r="AN80" s="967"/>
      <c r="AO80" s="967"/>
    </row>
    <row r="81" spans="1:41" hidden="1">
      <c r="A81" s="21" t="s">
        <v>957</v>
      </c>
      <c r="B81" s="1108" t="s">
        <v>905</v>
      </c>
      <c r="C81" s="6"/>
      <c r="D81" s="6"/>
      <c r="E81" s="6"/>
      <c r="F81" s="6">
        <v>0</v>
      </c>
      <c r="G81" s="6">
        <f t="shared" ref="G81:P81" si="99">+F81*1.04</f>
        <v>0</v>
      </c>
      <c r="H81" s="6">
        <v>0</v>
      </c>
      <c r="I81" s="6">
        <f t="shared" si="99"/>
        <v>0</v>
      </c>
      <c r="J81" s="6">
        <f t="shared" si="99"/>
        <v>0</v>
      </c>
      <c r="K81" s="6">
        <f t="shared" si="99"/>
        <v>0</v>
      </c>
      <c r="L81" s="6">
        <f t="shared" si="99"/>
        <v>0</v>
      </c>
      <c r="M81" s="6">
        <f t="shared" si="99"/>
        <v>0</v>
      </c>
      <c r="N81" s="6">
        <f t="shared" si="99"/>
        <v>0</v>
      </c>
      <c r="O81" s="6">
        <f t="shared" si="99"/>
        <v>0</v>
      </c>
      <c r="P81" s="6">
        <f t="shared" si="99"/>
        <v>0</v>
      </c>
      <c r="Q81" s="6"/>
      <c r="R81" s="6"/>
      <c r="S81" s="6"/>
      <c r="T81" s="6"/>
      <c r="U81" s="891"/>
      <c r="V81" s="967"/>
      <c r="W81" s="967"/>
      <c r="X81" s="968"/>
      <c r="Z81" s="968"/>
      <c r="AA81" s="968"/>
      <c r="AB81" s="967"/>
      <c r="AC81" s="967"/>
      <c r="AD81" s="967"/>
      <c r="AE81" s="967"/>
      <c r="AF81" s="967"/>
      <c r="AG81" s="967"/>
      <c r="AH81" s="967"/>
      <c r="AI81" s="967"/>
      <c r="AJ81" s="967"/>
      <c r="AK81" s="967"/>
      <c r="AL81" s="971"/>
      <c r="AM81" s="967"/>
      <c r="AN81" s="967"/>
      <c r="AO81" s="967"/>
    </row>
    <row r="82" spans="1:41" hidden="1">
      <c r="A82" s="18" t="s">
        <v>959</v>
      </c>
      <c r="B82" s="1108" t="s">
        <v>960</v>
      </c>
      <c r="C82" s="32">
        <f>SUM(C83:C90)</f>
        <v>0</v>
      </c>
      <c r="D82" s="32">
        <f t="shared" ref="D82:P82" si="100">SUM(D83:D90)</f>
        <v>0</v>
      </c>
      <c r="E82" s="32">
        <f t="shared" si="100"/>
        <v>0</v>
      </c>
      <c r="F82" s="32">
        <f t="shared" si="100"/>
        <v>0</v>
      </c>
      <c r="G82" s="32">
        <f t="shared" si="100"/>
        <v>0</v>
      </c>
      <c r="H82" s="32">
        <v>0</v>
      </c>
      <c r="I82" s="32">
        <f t="shared" si="100"/>
        <v>0</v>
      </c>
      <c r="J82" s="32">
        <f t="shared" si="100"/>
        <v>0</v>
      </c>
      <c r="K82" s="32">
        <f t="shared" si="100"/>
        <v>0</v>
      </c>
      <c r="L82" s="32">
        <f t="shared" si="100"/>
        <v>0</v>
      </c>
      <c r="M82" s="32">
        <f t="shared" si="100"/>
        <v>0</v>
      </c>
      <c r="N82" s="32">
        <f t="shared" si="100"/>
        <v>0</v>
      </c>
      <c r="O82" s="32">
        <f t="shared" si="100"/>
        <v>0</v>
      </c>
      <c r="P82" s="32">
        <f t="shared" si="100"/>
        <v>0</v>
      </c>
      <c r="Q82" s="32"/>
      <c r="R82" s="32"/>
      <c r="S82" s="32"/>
      <c r="T82" s="32"/>
      <c r="U82" s="891"/>
      <c r="V82" s="967"/>
      <c r="W82" s="967"/>
      <c r="X82" s="968"/>
      <c r="Z82" s="968"/>
      <c r="AA82" s="968"/>
      <c r="AB82" s="967"/>
      <c r="AC82" s="967"/>
      <c r="AD82" s="967"/>
      <c r="AE82" s="967"/>
      <c r="AF82" s="967"/>
      <c r="AG82" s="967"/>
      <c r="AH82" s="967"/>
      <c r="AI82" s="967"/>
      <c r="AJ82" s="967"/>
      <c r="AK82" s="967"/>
      <c r="AL82" s="971"/>
      <c r="AM82" s="967"/>
      <c r="AN82" s="967"/>
      <c r="AO82" s="967"/>
    </row>
    <row r="83" spans="1:41" hidden="1">
      <c r="A83" s="18" t="s">
        <v>961</v>
      </c>
      <c r="B83" s="1145" t="s">
        <v>962</v>
      </c>
      <c r="C83" s="6"/>
      <c r="D83" s="6"/>
      <c r="E83" s="6"/>
      <c r="F83" s="6">
        <v>0</v>
      </c>
      <c r="G83" s="6">
        <f t="shared" ref="G83:P83" si="101">+F83*1.04</f>
        <v>0</v>
      </c>
      <c r="H83" s="6">
        <v>0</v>
      </c>
      <c r="I83" s="6">
        <f t="shared" si="101"/>
        <v>0</v>
      </c>
      <c r="J83" s="6">
        <f t="shared" si="101"/>
        <v>0</v>
      </c>
      <c r="K83" s="6">
        <f t="shared" si="101"/>
        <v>0</v>
      </c>
      <c r="L83" s="6">
        <f t="shared" si="101"/>
        <v>0</v>
      </c>
      <c r="M83" s="6">
        <f t="shared" si="101"/>
        <v>0</v>
      </c>
      <c r="N83" s="6">
        <f t="shared" si="101"/>
        <v>0</v>
      </c>
      <c r="O83" s="6">
        <f t="shared" si="101"/>
        <v>0</v>
      </c>
      <c r="P83" s="6">
        <f t="shared" si="101"/>
        <v>0</v>
      </c>
      <c r="Q83" s="6"/>
      <c r="R83" s="6"/>
      <c r="S83" s="6"/>
      <c r="T83" s="6"/>
      <c r="U83" s="891"/>
      <c r="V83" s="967"/>
      <c r="W83" s="967"/>
      <c r="X83" s="968"/>
      <c r="Z83" s="968"/>
      <c r="AA83" s="968"/>
      <c r="AB83" s="967"/>
      <c r="AC83" s="967"/>
      <c r="AD83" s="967"/>
      <c r="AE83" s="967"/>
      <c r="AF83" s="967"/>
      <c r="AG83" s="967"/>
      <c r="AH83" s="967"/>
      <c r="AI83" s="967"/>
      <c r="AJ83" s="967"/>
      <c r="AK83" s="967"/>
      <c r="AL83" s="971"/>
      <c r="AM83" s="967"/>
      <c r="AN83" s="967"/>
      <c r="AO83" s="967"/>
    </row>
    <row r="84" spans="1:41" hidden="1">
      <c r="A84" s="18" t="s">
        <v>963</v>
      </c>
      <c r="B84" s="1145" t="s">
        <v>964</v>
      </c>
      <c r="C84" s="6"/>
      <c r="D84" s="6"/>
      <c r="E84" s="6"/>
      <c r="F84" s="6">
        <v>0</v>
      </c>
      <c r="G84" s="6">
        <f t="shared" ref="G84:P84" si="102">+F84*1.04</f>
        <v>0</v>
      </c>
      <c r="H84" s="6">
        <v>0</v>
      </c>
      <c r="I84" s="6">
        <f t="shared" si="102"/>
        <v>0</v>
      </c>
      <c r="J84" s="6">
        <f t="shared" si="102"/>
        <v>0</v>
      </c>
      <c r="K84" s="6">
        <f t="shared" si="102"/>
        <v>0</v>
      </c>
      <c r="L84" s="6">
        <f t="shared" si="102"/>
        <v>0</v>
      </c>
      <c r="M84" s="6">
        <f t="shared" si="102"/>
        <v>0</v>
      </c>
      <c r="N84" s="6">
        <f t="shared" si="102"/>
        <v>0</v>
      </c>
      <c r="O84" s="6">
        <f t="shared" si="102"/>
        <v>0</v>
      </c>
      <c r="P84" s="6">
        <f t="shared" si="102"/>
        <v>0</v>
      </c>
      <c r="Q84" s="6"/>
      <c r="R84" s="6"/>
      <c r="S84" s="6"/>
      <c r="T84" s="6"/>
      <c r="U84" s="891"/>
      <c r="V84" s="967"/>
      <c r="W84" s="967"/>
      <c r="X84" s="968"/>
      <c r="Z84" s="968"/>
      <c r="AA84" s="968"/>
      <c r="AB84" s="967"/>
      <c r="AC84" s="967"/>
      <c r="AD84" s="967"/>
      <c r="AE84" s="967"/>
      <c r="AF84" s="967"/>
      <c r="AG84" s="967"/>
      <c r="AH84" s="967"/>
      <c r="AI84" s="967"/>
      <c r="AJ84" s="967"/>
      <c r="AK84" s="967"/>
      <c r="AL84" s="971"/>
      <c r="AM84" s="967"/>
      <c r="AN84" s="967"/>
      <c r="AO84" s="967"/>
    </row>
    <row r="85" spans="1:41" hidden="1">
      <c r="A85" s="18" t="s">
        <v>965</v>
      </c>
      <c r="B85" s="1145" t="s">
        <v>966</v>
      </c>
      <c r="C85" s="6"/>
      <c r="D85" s="6"/>
      <c r="E85" s="6"/>
      <c r="F85" s="6">
        <v>0</v>
      </c>
      <c r="G85" s="6">
        <f t="shared" ref="G85:P85" si="103">+F85*1.04</f>
        <v>0</v>
      </c>
      <c r="H85" s="6">
        <v>0</v>
      </c>
      <c r="I85" s="6">
        <f t="shared" si="103"/>
        <v>0</v>
      </c>
      <c r="J85" s="6">
        <f t="shared" si="103"/>
        <v>0</v>
      </c>
      <c r="K85" s="6">
        <f t="shared" si="103"/>
        <v>0</v>
      </c>
      <c r="L85" s="6">
        <f t="shared" si="103"/>
        <v>0</v>
      </c>
      <c r="M85" s="6">
        <f t="shared" si="103"/>
        <v>0</v>
      </c>
      <c r="N85" s="6">
        <f t="shared" si="103"/>
        <v>0</v>
      </c>
      <c r="O85" s="6">
        <f t="shared" si="103"/>
        <v>0</v>
      </c>
      <c r="P85" s="6">
        <f t="shared" si="103"/>
        <v>0</v>
      </c>
      <c r="Q85" s="6"/>
      <c r="R85" s="6"/>
      <c r="S85" s="6"/>
      <c r="T85" s="6"/>
      <c r="U85" s="891"/>
      <c r="V85" s="967"/>
      <c r="W85" s="967"/>
      <c r="X85" s="968"/>
      <c r="Z85" s="968"/>
      <c r="AA85" s="968"/>
      <c r="AB85" s="967"/>
      <c r="AC85" s="967"/>
      <c r="AD85" s="967"/>
      <c r="AE85" s="967"/>
      <c r="AF85" s="967"/>
      <c r="AG85" s="967"/>
      <c r="AH85" s="967"/>
      <c r="AI85" s="967"/>
      <c r="AJ85" s="967"/>
      <c r="AK85" s="967"/>
      <c r="AL85" s="971"/>
      <c r="AM85" s="967"/>
      <c r="AN85" s="967"/>
      <c r="AO85" s="967"/>
    </row>
    <row r="86" spans="1:41" hidden="1">
      <c r="A86" s="18" t="s">
        <v>967</v>
      </c>
      <c r="B86" s="1145" t="s">
        <v>968</v>
      </c>
      <c r="C86" s="6"/>
      <c r="D86" s="6"/>
      <c r="E86" s="6"/>
      <c r="F86" s="6">
        <v>0</v>
      </c>
      <c r="G86" s="6">
        <f t="shared" ref="G86:P86" si="104">+F86*1.04</f>
        <v>0</v>
      </c>
      <c r="H86" s="6">
        <v>0</v>
      </c>
      <c r="I86" s="6">
        <f t="shared" si="104"/>
        <v>0</v>
      </c>
      <c r="J86" s="6">
        <f t="shared" si="104"/>
        <v>0</v>
      </c>
      <c r="K86" s="6">
        <f t="shared" si="104"/>
        <v>0</v>
      </c>
      <c r="L86" s="6">
        <f t="shared" si="104"/>
        <v>0</v>
      </c>
      <c r="M86" s="6">
        <f t="shared" si="104"/>
        <v>0</v>
      </c>
      <c r="N86" s="6">
        <f t="shared" si="104"/>
        <v>0</v>
      </c>
      <c r="O86" s="6">
        <f t="shared" si="104"/>
        <v>0</v>
      </c>
      <c r="P86" s="6">
        <f t="shared" si="104"/>
        <v>0</v>
      </c>
      <c r="Q86" s="6"/>
      <c r="R86" s="6"/>
      <c r="S86" s="6"/>
      <c r="T86" s="6"/>
      <c r="U86" s="891"/>
      <c r="V86" s="967"/>
      <c r="W86" s="967"/>
      <c r="X86" s="968"/>
      <c r="Z86" s="968"/>
      <c r="AA86" s="968"/>
      <c r="AB86" s="967"/>
      <c r="AC86" s="967"/>
      <c r="AD86" s="967"/>
      <c r="AE86" s="967"/>
      <c r="AF86" s="967"/>
      <c r="AG86" s="967"/>
      <c r="AH86" s="967"/>
      <c r="AI86" s="967"/>
      <c r="AJ86" s="967"/>
      <c r="AK86" s="967"/>
      <c r="AL86" s="971"/>
      <c r="AM86" s="967"/>
      <c r="AN86" s="967"/>
      <c r="AO86" s="967"/>
    </row>
    <row r="87" spans="1:41" hidden="1">
      <c r="A87" s="18" t="s">
        <v>969</v>
      </c>
      <c r="B87" s="1145" t="s">
        <v>970</v>
      </c>
      <c r="C87" s="6"/>
      <c r="D87" s="6"/>
      <c r="E87" s="6"/>
      <c r="F87" s="6">
        <v>0</v>
      </c>
      <c r="G87" s="6">
        <f t="shared" ref="G87:P87" si="105">+F87*1.04</f>
        <v>0</v>
      </c>
      <c r="H87" s="6">
        <v>0</v>
      </c>
      <c r="I87" s="6">
        <f t="shared" si="105"/>
        <v>0</v>
      </c>
      <c r="J87" s="6">
        <f t="shared" si="105"/>
        <v>0</v>
      </c>
      <c r="K87" s="6">
        <f t="shared" si="105"/>
        <v>0</v>
      </c>
      <c r="L87" s="6">
        <f t="shared" si="105"/>
        <v>0</v>
      </c>
      <c r="M87" s="6">
        <f t="shared" si="105"/>
        <v>0</v>
      </c>
      <c r="N87" s="6">
        <f t="shared" si="105"/>
        <v>0</v>
      </c>
      <c r="O87" s="6">
        <f t="shared" si="105"/>
        <v>0</v>
      </c>
      <c r="P87" s="6">
        <f t="shared" si="105"/>
        <v>0</v>
      </c>
      <c r="Q87" s="6"/>
      <c r="R87" s="6"/>
      <c r="S87" s="6"/>
      <c r="T87" s="6"/>
      <c r="U87" s="891"/>
      <c r="V87" s="967"/>
      <c r="W87" s="967"/>
      <c r="X87" s="968"/>
      <c r="Z87" s="968"/>
      <c r="AA87" s="968"/>
      <c r="AB87" s="967"/>
      <c r="AC87" s="967"/>
      <c r="AD87" s="967"/>
      <c r="AE87" s="967"/>
      <c r="AF87" s="967"/>
      <c r="AG87" s="967"/>
      <c r="AH87" s="967"/>
      <c r="AI87" s="967"/>
      <c r="AJ87" s="967"/>
      <c r="AK87" s="967"/>
      <c r="AL87" s="971"/>
      <c r="AM87" s="967"/>
      <c r="AN87" s="967"/>
      <c r="AO87" s="967"/>
    </row>
    <row r="88" spans="1:41" hidden="1">
      <c r="A88" s="18" t="s">
        <v>971</v>
      </c>
      <c r="B88" s="1145" t="s">
        <v>972</v>
      </c>
      <c r="C88" s="6"/>
      <c r="D88" s="6"/>
      <c r="E88" s="6"/>
      <c r="F88" s="6">
        <v>0</v>
      </c>
      <c r="G88" s="6">
        <f t="shared" ref="G88:P88" si="106">+F88*1.04</f>
        <v>0</v>
      </c>
      <c r="H88" s="6">
        <v>0</v>
      </c>
      <c r="I88" s="6">
        <f t="shared" si="106"/>
        <v>0</v>
      </c>
      <c r="J88" s="6">
        <f t="shared" si="106"/>
        <v>0</v>
      </c>
      <c r="K88" s="6">
        <f t="shared" si="106"/>
        <v>0</v>
      </c>
      <c r="L88" s="6">
        <f t="shared" si="106"/>
        <v>0</v>
      </c>
      <c r="M88" s="6">
        <f t="shared" si="106"/>
        <v>0</v>
      </c>
      <c r="N88" s="6">
        <f t="shared" si="106"/>
        <v>0</v>
      </c>
      <c r="O88" s="6">
        <f t="shared" si="106"/>
        <v>0</v>
      </c>
      <c r="P88" s="6">
        <f t="shared" si="106"/>
        <v>0</v>
      </c>
      <c r="Q88" s="6"/>
      <c r="R88" s="6"/>
      <c r="S88" s="6"/>
      <c r="T88" s="6"/>
      <c r="U88" s="891"/>
      <c r="V88" s="967"/>
      <c r="W88" s="967"/>
      <c r="X88" s="968"/>
      <c r="Z88" s="968"/>
      <c r="AA88" s="968"/>
      <c r="AB88" s="967"/>
      <c r="AC88" s="967"/>
      <c r="AD88" s="967"/>
      <c r="AE88" s="967"/>
      <c r="AF88" s="967"/>
      <c r="AG88" s="967"/>
      <c r="AH88" s="967"/>
      <c r="AI88" s="967"/>
      <c r="AJ88" s="967"/>
      <c r="AK88" s="967"/>
      <c r="AL88" s="971"/>
      <c r="AM88" s="967"/>
      <c r="AN88" s="967"/>
      <c r="AO88" s="967"/>
    </row>
    <row r="89" spans="1:41" hidden="1">
      <c r="A89" s="18" t="s">
        <v>973</v>
      </c>
      <c r="B89" s="1145" t="s">
        <v>974</v>
      </c>
      <c r="C89" s="6"/>
      <c r="D89" s="6"/>
      <c r="E89" s="6"/>
      <c r="F89" s="6">
        <v>0</v>
      </c>
      <c r="G89" s="6">
        <f t="shared" ref="G89:P89" si="107">+F89*1.04</f>
        <v>0</v>
      </c>
      <c r="H89" s="6">
        <v>0</v>
      </c>
      <c r="I89" s="6">
        <f t="shared" si="107"/>
        <v>0</v>
      </c>
      <c r="J89" s="6">
        <f t="shared" si="107"/>
        <v>0</v>
      </c>
      <c r="K89" s="6">
        <f t="shared" si="107"/>
        <v>0</v>
      </c>
      <c r="L89" s="6">
        <f t="shared" si="107"/>
        <v>0</v>
      </c>
      <c r="M89" s="6">
        <f t="shared" si="107"/>
        <v>0</v>
      </c>
      <c r="N89" s="6">
        <f t="shared" si="107"/>
        <v>0</v>
      </c>
      <c r="O89" s="6">
        <f t="shared" si="107"/>
        <v>0</v>
      </c>
      <c r="P89" s="6">
        <f t="shared" si="107"/>
        <v>0</v>
      </c>
      <c r="Q89" s="6"/>
      <c r="R89" s="6"/>
      <c r="S89" s="6"/>
      <c r="T89" s="6"/>
      <c r="U89" s="891"/>
      <c r="V89" s="967"/>
      <c r="W89" s="967"/>
      <c r="X89" s="968"/>
      <c r="Z89" s="968"/>
      <c r="AA89" s="968"/>
      <c r="AB89" s="967"/>
      <c r="AC89" s="967"/>
      <c r="AD89" s="967"/>
      <c r="AE89" s="967"/>
      <c r="AF89" s="967"/>
      <c r="AG89" s="967"/>
      <c r="AH89" s="967"/>
      <c r="AI89" s="967"/>
      <c r="AJ89" s="967"/>
      <c r="AK89" s="967"/>
      <c r="AL89" s="971"/>
      <c r="AM89" s="967"/>
      <c r="AN89" s="967"/>
      <c r="AO89" s="967"/>
    </row>
    <row r="90" spans="1:41" hidden="1">
      <c r="A90" s="21" t="s">
        <v>975</v>
      </c>
      <c r="B90" s="1145" t="s">
        <v>976</v>
      </c>
      <c r="C90" s="6"/>
      <c r="D90" s="6"/>
      <c r="E90" s="6"/>
      <c r="F90" s="6">
        <v>0</v>
      </c>
      <c r="G90" s="6">
        <f t="shared" ref="G90:P90" si="108">+F90*1.04</f>
        <v>0</v>
      </c>
      <c r="H90" s="6">
        <v>0</v>
      </c>
      <c r="I90" s="6">
        <f t="shared" si="108"/>
        <v>0</v>
      </c>
      <c r="J90" s="6">
        <f t="shared" si="108"/>
        <v>0</v>
      </c>
      <c r="K90" s="6">
        <f t="shared" si="108"/>
        <v>0</v>
      </c>
      <c r="L90" s="6">
        <f t="shared" si="108"/>
        <v>0</v>
      </c>
      <c r="M90" s="6">
        <f t="shared" si="108"/>
        <v>0</v>
      </c>
      <c r="N90" s="6">
        <f t="shared" si="108"/>
        <v>0</v>
      </c>
      <c r="O90" s="6">
        <f t="shared" si="108"/>
        <v>0</v>
      </c>
      <c r="P90" s="6">
        <f t="shared" si="108"/>
        <v>0</v>
      </c>
      <c r="Q90" s="6"/>
      <c r="R90" s="6"/>
      <c r="S90" s="6"/>
      <c r="T90" s="6"/>
      <c r="U90" s="891"/>
      <c r="V90" s="967"/>
      <c r="W90" s="967"/>
      <c r="X90" s="968"/>
      <c r="Z90" s="968"/>
      <c r="AA90" s="968"/>
      <c r="AB90" s="967"/>
      <c r="AC90" s="967"/>
      <c r="AD90" s="967"/>
      <c r="AE90" s="967"/>
      <c r="AF90" s="967"/>
      <c r="AG90" s="967"/>
      <c r="AH90" s="967"/>
      <c r="AI90" s="967"/>
      <c r="AJ90" s="967"/>
      <c r="AK90" s="967"/>
      <c r="AL90" s="971"/>
      <c r="AM90" s="967"/>
      <c r="AN90" s="967"/>
      <c r="AO90" s="967"/>
    </row>
    <row r="91" spans="1:41" hidden="1">
      <c r="A91" s="17" t="s">
        <v>977</v>
      </c>
      <c r="B91" s="1108" t="s">
        <v>978</v>
      </c>
      <c r="C91" s="32">
        <f>+C92+C102</f>
        <v>0</v>
      </c>
      <c r="D91" s="32">
        <f t="shared" ref="D91:P91" si="109">+D92+D102</f>
        <v>0</v>
      </c>
      <c r="E91" s="32">
        <f t="shared" si="109"/>
        <v>0</v>
      </c>
      <c r="F91" s="32">
        <f t="shared" si="109"/>
        <v>0</v>
      </c>
      <c r="G91" s="32">
        <f t="shared" si="109"/>
        <v>0</v>
      </c>
      <c r="H91" s="32">
        <v>0</v>
      </c>
      <c r="I91" s="32">
        <f t="shared" si="109"/>
        <v>0</v>
      </c>
      <c r="J91" s="32">
        <f t="shared" si="109"/>
        <v>0</v>
      </c>
      <c r="K91" s="32">
        <f t="shared" si="109"/>
        <v>0</v>
      </c>
      <c r="L91" s="32">
        <f t="shared" si="109"/>
        <v>0</v>
      </c>
      <c r="M91" s="32">
        <f t="shared" si="109"/>
        <v>0</v>
      </c>
      <c r="N91" s="32">
        <f t="shared" si="109"/>
        <v>0</v>
      </c>
      <c r="O91" s="32">
        <f t="shared" si="109"/>
        <v>0</v>
      </c>
      <c r="P91" s="32">
        <f t="shared" si="109"/>
        <v>0</v>
      </c>
      <c r="Q91" s="32"/>
      <c r="R91" s="32"/>
      <c r="S91" s="32"/>
      <c r="T91" s="32"/>
      <c r="U91" s="891"/>
      <c r="V91" s="967"/>
      <c r="W91" s="967"/>
      <c r="X91" s="968"/>
      <c r="Z91" s="968"/>
      <c r="AA91" s="968"/>
      <c r="AB91" s="967"/>
      <c r="AC91" s="967"/>
      <c r="AD91" s="967"/>
      <c r="AE91" s="967"/>
      <c r="AF91" s="967"/>
      <c r="AG91" s="967"/>
      <c r="AH91" s="967"/>
      <c r="AI91" s="967"/>
      <c r="AJ91" s="967"/>
      <c r="AK91" s="967"/>
      <c r="AL91" s="971"/>
      <c r="AM91" s="967"/>
      <c r="AN91" s="967"/>
      <c r="AO91" s="967"/>
    </row>
    <row r="92" spans="1:41" hidden="1">
      <c r="A92" s="17" t="s">
        <v>979</v>
      </c>
      <c r="B92" s="1108" t="s">
        <v>980</v>
      </c>
      <c r="C92" s="32">
        <f>+C93+C101</f>
        <v>0</v>
      </c>
      <c r="D92" s="32">
        <f t="shared" ref="D92:P92" si="110">+D93+D101</f>
        <v>0</v>
      </c>
      <c r="E92" s="32">
        <f t="shared" si="110"/>
        <v>0</v>
      </c>
      <c r="F92" s="32">
        <f t="shared" si="110"/>
        <v>0</v>
      </c>
      <c r="G92" s="32">
        <f t="shared" si="110"/>
        <v>0</v>
      </c>
      <c r="H92" s="32">
        <v>0</v>
      </c>
      <c r="I92" s="32">
        <f t="shared" si="110"/>
        <v>0</v>
      </c>
      <c r="J92" s="32">
        <f t="shared" si="110"/>
        <v>0</v>
      </c>
      <c r="K92" s="32">
        <f t="shared" si="110"/>
        <v>0</v>
      </c>
      <c r="L92" s="32">
        <f t="shared" si="110"/>
        <v>0</v>
      </c>
      <c r="M92" s="32">
        <f t="shared" si="110"/>
        <v>0</v>
      </c>
      <c r="N92" s="32">
        <f t="shared" si="110"/>
        <v>0</v>
      </c>
      <c r="O92" s="32">
        <f t="shared" si="110"/>
        <v>0</v>
      </c>
      <c r="P92" s="32">
        <f t="shared" si="110"/>
        <v>0</v>
      </c>
      <c r="Q92" s="32"/>
      <c r="R92" s="32"/>
      <c r="S92" s="32"/>
      <c r="T92" s="32"/>
      <c r="U92" s="891"/>
      <c r="V92" s="967"/>
      <c r="W92" s="967"/>
      <c r="X92" s="968"/>
      <c r="Z92" s="968"/>
      <c r="AA92" s="968"/>
      <c r="AB92" s="967"/>
      <c r="AC92" s="967"/>
      <c r="AD92" s="967"/>
      <c r="AE92" s="967"/>
      <c r="AF92" s="967"/>
      <c r="AG92" s="967"/>
      <c r="AH92" s="967"/>
      <c r="AI92" s="967"/>
      <c r="AJ92" s="967"/>
      <c r="AK92" s="967"/>
      <c r="AL92" s="971"/>
      <c r="AM92" s="967"/>
      <c r="AN92" s="967"/>
      <c r="AO92" s="967"/>
    </row>
    <row r="93" spans="1:41" hidden="1">
      <c r="A93" s="17" t="s">
        <v>981</v>
      </c>
      <c r="B93" s="1108" t="s">
        <v>982</v>
      </c>
      <c r="C93" s="32">
        <f>SUM(C94:C100)</f>
        <v>0</v>
      </c>
      <c r="D93" s="32">
        <f t="shared" ref="D93:P93" si="111">SUM(D94:D100)</f>
        <v>0</v>
      </c>
      <c r="E93" s="32">
        <f t="shared" si="111"/>
        <v>0</v>
      </c>
      <c r="F93" s="32">
        <f t="shared" si="111"/>
        <v>0</v>
      </c>
      <c r="G93" s="32">
        <f t="shared" si="111"/>
        <v>0</v>
      </c>
      <c r="H93" s="32">
        <v>0</v>
      </c>
      <c r="I93" s="32">
        <f t="shared" si="111"/>
        <v>0</v>
      </c>
      <c r="J93" s="32">
        <f t="shared" si="111"/>
        <v>0</v>
      </c>
      <c r="K93" s="32">
        <f t="shared" si="111"/>
        <v>0</v>
      </c>
      <c r="L93" s="32">
        <f t="shared" si="111"/>
        <v>0</v>
      </c>
      <c r="M93" s="32">
        <f t="shared" si="111"/>
        <v>0</v>
      </c>
      <c r="N93" s="32">
        <f t="shared" si="111"/>
        <v>0</v>
      </c>
      <c r="O93" s="32">
        <f t="shared" si="111"/>
        <v>0</v>
      </c>
      <c r="P93" s="32">
        <f t="shared" si="111"/>
        <v>0</v>
      </c>
      <c r="Q93" s="32"/>
      <c r="R93" s="32"/>
      <c r="S93" s="32"/>
      <c r="T93" s="32"/>
      <c r="U93" s="891"/>
      <c r="V93" s="967"/>
      <c r="W93" s="967"/>
      <c r="X93" s="968"/>
      <c r="Z93" s="968"/>
      <c r="AA93" s="968"/>
      <c r="AB93" s="967"/>
      <c r="AC93" s="967"/>
      <c r="AD93" s="967"/>
      <c r="AE93" s="967"/>
      <c r="AF93" s="967"/>
      <c r="AG93" s="967"/>
      <c r="AH93" s="967"/>
      <c r="AI93" s="967"/>
      <c r="AJ93" s="967"/>
      <c r="AK93" s="967"/>
      <c r="AL93" s="971"/>
      <c r="AM93" s="967"/>
      <c r="AN93" s="967"/>
      <c r="AO93" s="967"/>
    </row>
    <row r="94" spans="1:41" hidden="1">
      <c r="A94" s="19" t="s">
        <v>983</v>
      </c>
      <c r="B94" s="1145" t="s">
        <v>984</v>
      </c>
      <c r="C94" s="6"/>
      <c r="D94" s="6"/>
      <c r="E94" s="6"/>
      <c r="F94" s="6">
        <v>0</v>
      </c>
      <c r="G94" s="6">
        <f t="shared" ref="G94:P94" si="112">+F94*1.04</f>
        <v>0</v>
      </c>
      <c r="H94" s="6">
        <v>0</v>
      </c>
      <c r="I94" s="6">
        <f t="shared" si="112"/>
        <v>0</v>
      </c>
      <c r="J94" s="6">
        <f t="shared" si="112"/>
        <v>0</v>
      </c>
      <c r="K94" s="6">
        <f t="shared" si="112"/>
        <v>0</v>
      </c>
      <c r="L94" s="6">
        <f t="shared" si="112"/>
        <v>0</v>
      </c>
      <c r="M94" s="6">
        <f t="shared" si="112"/>
        <v>0</v>
      </c>
      <c r="N94" s="6">
        <f t="shared" si="112"/>
        <v>0</v>
      </c>
      <c r="O94" s="6">
        <f t="shared" si="112"/>
        <v>0</v>
      </c>
      <c r="P94" s="6">
        <f t="shared" si="112"/>
        <v>0</v>
      </c>
      <c r="Q94" s="6"/>
      <c r="R94" s="6"/>
      <c r="S94" s="6"/>
      <c r="T94" s="6"/>
      <c r="U94" s="891"/>
      <c r="V94" s="967"/>
      <c r="W94" s="967"/>
      <c r="X94" s="968"/>
      <c r="Z94" s="968"/>
      <c r="AA94" s="968"/>
      <c r="AB94" s="967"/>
      <c r="AC94" s="967"/>
      <c r="AD94" s="967"/>
      <c r="AE94" s="967"/>
      <c r="AF94" s="967"/>
      <c r="AG94" s="967"/>
      <c r="AH94" s="967"/>
      <c r="AI94" s="967"/>
      <c r="AJ94" s="967"/>
      <c r="AK94" s="967"/>
      <c r="AL94" s="971"/>
      <c r="AM94" s="967"/>
      <c r="AN94" s="967"/>
      <c r="AO94" s="967"/>
    </row>
    <row r="95" spans="1:41" hidden="1">
      <c r="A95" s="19" t="s">
        <v>985</v>
      </c>
      <c r="B95" s="1145" t="s">
        <v>986</v>
      </c>
      <c r="C95" s="6"/>
      <c r="D95" s="6"/>
      <c r="E95" s="6"/>
      <c r="F95" s="6">
        <v>0</v>
      </c>
      <c r="G95" s="6">
        <f t="shared" ref="G95:P95" si="113">+F95*1.04</f>
        <v>0</v>
      </c>
      <c r="H95" s="6">
        <v>0</v>
      </c>
      <c r="I95" s="6">
        <f t="shared" si="113"/>
        <v>0</v>
      </c>
      <c r="J95" s="6">
        <f t="shared" si="113"/>
        <v>0</v>
      </c>
      <c r="K95" s="6">
        <f t="shared" si="113"/>
        <v>0</v>
      </c>
      <c r="L95" s="6">
        <f t="shared" si="113"/>
        <v>0</v>
      </c>
      <c r="M95" s="6">
        <f t="shared" si="113"/>
        <v>0</v>
      </c>
      <c r="N95" s="6">
        <f t="shared" si="113"/>
        <v>0</v>
      </c>
      <c r="O95" s="6">
        <f t="shared" si="113"/>
        <v>0</v>
      </c>
      <c r="P95" s="6">
        <f t="shared" si="113"/>
        <v>0</v>
      </c>
      <c r="Q95" s="6"/>
      <c r="R95" s="6"/>
      <c r="S95" s="6"/>
      <c r="T95" s="6"/>
      <c r="U95" s="891"/>
      <c r="V95" s="967"/>
      <c r="W95" s="967"/>
      <c r="X95" s="968"/>
      <c r="Z95" s="968"/>
      <c r="AA95" s="968"/>
      <c r="AB95" s="967"/>
      <c r="AC95" s="967"/>
      <c r="AD95" s="967"/>
      <c r="AE95" s="967"/>
      <c r="AF95" s="967"/>
      <c r="AG95" s="967"/>
      <c r="AH95" s="967"/>
      <c r="AI95" s="967"/>
      <c r="AJ95" s="967"/>
      <c r="AK95" s="967"/>
      <c r="AL95" s="971"/>
      <c r="AM95" s="967"/>
      <c r="AN95" s="967"/>
      <c r="AO95" s="967"/>
    </row>
    <row r="96" spans="1:41" hidden="1">
      <c r="A96" s="19" t="s">
        <v>987</v>
      </c>
      <c r="B96" s="1145" t="s">
        <v>988</v>
      </c>
      <c r="C96" s="6"/>
      <c r="D96" s="6"/>
      <c r="E96" s="6"/>
      <c r="F96" s="6">
        <v>0</v>
      </c>
      <c r="G96" s="6">
        <f t="shared" ref="G96:P96" si="114">+F96*1.04</f>
        <v>0</v>
      </c>
      <c r="H96" s="6">
        <v>0</v>
      </c>
      <c r="I96" s="6">
        <f t="shared" si="114"/>
        <v>0</v>
      </c>
      <c r="J96" s="6">
        <f t="shared" si="114"/>
        <v>0</v>
      </c>
      <c r="K96" s="6">
        <f t="shared" si="114"/>
        <v>0</v>
      </c>
      <c r="L96" s="6">
        <f t="shared" si="114"/>
        <v>0</v>
      </c>
      <c r="M96" s="6">
        <f t="shared" si="114"/>
        <v>0</v>
      </c>
      <c r="N96" s="6">
        <f t="shared" si="114"/>
        <v>0</v>
      </c>
      <c r="O96" s="6">
        <f t="shared" si="114"/>
        <v>0</v>
      </c>
      <c r="P96" s="6">
        <f t="shared" si="114"/>
        <v>0</v>
      </c>
      <c r="Q96" s="6"/>
      <c r="R96" s="6"/>
      <c r="S96" s="6"/>
      <c r="T96" s="6"/>
      <c r="U96" s="891"/>
      <c r="V96" s="967"/>
      <c r="W96" s="967"/>
      <c r="X96" s="968"/>
      <c r="Z96" s="968"/>
      <c r="AA96" s="968"/>
      <c r="AB96" s="967"/>
      <c r="AC96" s="967"/>
      <c r="AD96" s="967"/>
      <c r="AE96" s="967"/>
      <c r="AF96" s="967"/>
      <c r="AG96" s="967"/>
      <c r="AH96" s="967"/>
      <c r="AI96" s="967"/>
      <c r="AJ96" s="967"/>
      <c r="AK96" s="967"/>
      <c r="AL96" s="971"/>
      <c r="AM96" s="967"/>
      <c r="AN96" s="967"/>
      <c r="AO96" s="967"/>
    </row>
    <row r="97" spans="1:41" hidden="1">
      <c r="A97" s="19" t="s">
        <v>989</v>
      </c>
      <c r="B97" s="1145" t="s">
        <v>990</v>
      </c>
      <c r="C97" s="6"/>
      <c r="D97" s="6"/>
      <c r="E97" s="6"/>
      <c r="F97" s="6">
        <v>0</v>
      </c>
      <c r="G97" s="6">
        <f t="shared" ref="G97:P97" si="115">+F97*1.04</f>
        <v>0</v>
      </c>
      <c r="H97" s="6">
        <v>0</v>
      </c>
      <c r="I97" s="6">
        <f t="shared" si="115"/>
        <v>0</v>
      </c>
      <c r="J97" s="6">
        <f t="shared" si="115"/>
        <v>0</v>
      </c>
      <c r="K97" s="6">
        <f t="shared" si="115"/>
        <v>0</v>
      </c>
      <c r="L97" s="6">
        <f t="shared" si="115"/>
        <v>0</v>
      </c>
      <c r="M97" s="6">
        <f t="shared" si="115"/>
        <v>0</v>
      </c>
      <c r="N97" s="6">
        <f t="shared" si="115"/>
        <v>0</v>
      </c>
      <c r="O97" s="6">
        <f t="shared" si="115"/>
        <v>0</v>
      </c>
      <c r="P97" s="6">
        <f t="shared" si="115"/>
        <v>0</v>
      </c>
      <c r="Q97" s="6"/>
      <c r="R97" s="6"/>
      <c r="S97" s="6"/>
      <c r="T97" s="6"/>
      <c r="U97" s="891"/>
      <c r="V97" s="967"/>
      <c r="W97" s="967"/>
      <c r="X97" s="968"/>
      <c r="Z97" s="968"/>
      <c r="AA97" s="968"/>
      <c r="AB97" s="967"/>
      <c r="AC97" s="967"/>
      <c r="AD97" s="967"/>
      <c r="AE97" s="967"/>
      <c r="AF97" s="967"/>
      <c r="AG97" s="967"/>
      <c r="AH97" s="967"/>
      <c r="AI97" s="967"/>
      <c r="AJ97" s="967"/>
      <c r="AK97" s="967"/>
      <c r="AL97" s="971"/>
      <c r="AM97" s="967"/>
      <c r="AN97" s="967"/>
      <c r="AO97" s="967"/>
    </row>
    <row r="98" spans="1:41" hidden="1">
      <c r="A98" s="19" t="s">
        <v>991</v>
      </c>
      <c r="B98" s="1145" t="s">
        <v>992</v>
      </c>
      <c r="C98" s="6"/>
      <c r="D98" s="6"/>
      <c r="E98" s="6"/>
      <c r="F98" s="6">
        <v>0</v>
      </c>
      <c r="G98" s="6">
        <f t="shared" ref="G98:P98" si="116">+F98*1.04</f>
        <v>0</v>
      </c>
      <c r="H98" s="6">
        <v>0</v>
      </c>
      <c r="I98" s="6">
        <f t="shared" si="116"/>
        <v>0</v>
      </c>
      <c r="J98" s="6">
        <f t="shared" si="116"/>
        <v>0</v>
      </c>
      <c r="K98" s="6">
        <f t="shared" si="116"/>
        <v>0</v>
      </c>
      <c r="L98" s="6">
        <f t="shared" si="116"/>
        <v>0</v>
      </c>
      <c r="M98" s="6">
        <f t="shared" si="116"/>
        <v>0</v>
      </c>
      <c r="N98" s="6">
        <f t="shared" si="116"/>
        <v>0</v>
      </c>
      <c r="O98" s="6">
        <f t="shared" si="116"/>
        <v>0</v>
      </c>
      <c r="P98" s="6">
        <f t="shared" si="116"/>
        <v>0</v>
      </c>
      <c r="Q98" s="6"/>
      <c r="R98" s="6"/>
      <c r="S98" s="6"/>
      <c r="T98" s="6"/>
      <c r="U98" s="891"/>
      <c r="V98" s="967"/>
      <c r="W98" s="967"/>
      <c r="X98" s="968"/>
      <c r="Z98" s="968"/>
      <c r="AA98" s="968"/>
      <c r="AB98" s="967"/>
      <c r="AC98" s="967"/>
      <c r="AD98" s="967"/>
      <c r="AE98" s="967"/>
      <c r="AF98" s="967"/>
      <c r="AG98" s="967"/>
      <c r="AH98" s="967"/>
      <c r="AI98" s="967"/>
      <c r="AJ98" s="967"/>
      <c r="AK98" s="967"/>
      <c r="AL98" s="971"/>
      <c r="AM98" s="967"/>
      <c r="AN98" s="967"/>
      <c r="AO98" s="967"/>
    </row>
    <row r="99" spans="1:41" hidden="1">
      <c r="A99" s="17" t="s">
        <v>993</v>
      </c>
      <c r="B99" s="1145" t="s">
        <v>994</v>
      </c>
      <c r="C99" s="6"/>
      <c r="D99" s="6"/>
      <c r="E99" s="6"/>
      <c r="F99" s="6">
        <v>0</v>
      </c>
      <c r="G99" s="6">
        <f t="shared" ref="G99:P99" si="117">+F99*1.04</f>
        <v>0</v>
      </c>
      <c r="H99" s="6">
        <v>0</v>
      </c>
      <c r="I99" s="6">
        <f t="shared" si="117"/>
        <v>0</v>
      </c>
      <c r="J99" s="6">
        <f t="shared" si="117"/>
        <v>0</v>
      </c>
      <c r="K99" s="6">
        <f t="shared" si="117"/>
        <v>0</v>
      </c>
      <c r="L99" s="6">
        <f t="shared" si="117"/>
        <v>0</v>
      </c>
      <c r="M99" s="6">
        <f t="shared" si="117"/>
        <v>0</v>
      </c>
      <c r="N99" s="6">
        <f t="shared" si="117"/>
        <v>0</v>
      </c>
      <c r="O99" s="6">
        <f t="shared" si="117"/>
        <v>0</v>
      </c>
      <c r="P99" s="6">
        <f t="shared" si="117"/>
        <v>0</v>
      </c>
      <c r="Q99" s="6"/>
      <c r="R99" s="6"/>
      <c r="S99" s="6"/>
      <c r="T99" s="6"/>
      <c r="U99" s="891"/>
      <c r="V99" s="967"/>
      <c r="W99" s="967"/>
      <c r="X99" s="968"/>
      <c r="Z99" s="968"/>
      <c r="AA99" s="968"/>
      <c r="AB99" s="967"/>
      <c r="AC99" s="967"/>
      <c r="AD99" s="967"/>
      <c r="AE99" s="967"/>
      <c r="AF99" s="967"/>
      <c r="AG99" s="967"/>
      <c r="AH99" s="967"/>
      <c r="AI99" s="967"/>
      <c r="AJ99" s="967"/>
      <c r="AK99" s="967"/>
      <c r="AL99" s="971"/>
      <c r="AM99" s="967"/>
      <c r="AN99" s="967"/>
      <c r="AO99" s="967"/>
    </row>
    <row r="100" spans="1:41" hidden="1">
      <c r="A100" s="19" t="s">
        <v>995</v>
      </c>
      <c r="B100" s="1145" t="s">
        <v>996</v>
      </c>
      <c r="C100" s="6"/>
      <c r="D100" s="6"/>
      <c r="E100" s="6"/>
      <c r="F100" s="6">
        <v>0</v>
      </c>
      <c r="G100" s="6">
        <f t="shared" ref="G100:P100" si="118">+F100*1.04</f>
        <v>0</v>
      </c>
      <c r="H100" s="6">
        <v>0</v>
      </c>
      <c r="I100" s="6">
        <f t="shared" si="118"/>
        <v>0</v>
      </c>
      <c r="J100" s="6">
        <f t="shared" si="118"/>
        <v>0</v>
      </c>
      <c r="K100" s="6">
        <f t="shared" si="118"/>
        <v>0</v>
      </c>
      <c r="L100" s="6">
        <f t="shared" si="118"/>
        <v>0</v>
      </c>
      <c r="M100" s="6">
        <f t="shared" si="118"/>
        <v>0</v>
      </c>
      <c r="N100" s="6">
        <f t="shared" si="118"/>
        <v>0</v>
      </c>
      <c r="O100" s="6">
        <f t="shared" si="118"/>
        <v>0</v>
      </c>
      <c r="P100" s="6">
        <f t="shared" si="118"/>
        <v>0</v>
      </c>
      <c r="Q100" s="6"/>
      <c r="R100" s="6"/>
      <c r="S100" s="6"/>
      <c r="T100" s="6"/>
      <c r="U100" s="891"/>
      <c r="V100" s="967"/>
      <c r="W100" s="967"/>
      <c r="X100" s="968"/>
      <c r="Z100" s="968"/>
      <c r="AA100" s="968"/>
      <c r="AB100" s="967"/>
      <c r="AC100" s="967"/>
      <c r="AD100" s="967"/>
      <c r="AE100" s="967"/>
      <c r="AF100" s="967"/>
      <c r="AG100" s="967"/>
      <c r="AH100" s="967"/>
      <c r="AI100" s="967"/>
      <c r="AJ100" s="967"/>
      <c r="AK100" s="967"/>
      <c r="AL100" s="971"/>
      <c r="AM100" s="967"/>
      <c r="AN100" s="967"/>
      <c r="AO100" s="967"/>
    </row>
    <row r="101" spans="1:41" hidden="1">
      <c r="A101" s="17" t="s">
        <v>997</v>
      </c>
      <c r="B101" s="1108" t="s">
        <v>998</v>
      </c>
      <c r="C101" s="6"/>
      <c r="D101" s="6"/>
      <c r="E101" s="6"/>
      <c r="F101" s="6">
        <v>0</v>
      </c>
      <c r="G101" s="6">
        <f t="shared" ref="G101:P102" si="119">+F101*1.04</f>
        <v>0</v>
      </c>
      <c r="H101" s="6">
        <v>0</v>
      </c>
      <c r="I101" s="6">
        <f t="shared" si="119"/>
        <v>0</v>
      </c>
      <c r="J101" s="6">
        <f t="shared" si="119"/>
        <v>0</v>
      </c>
      <c r="K101" s="6">
        <f t="shared" si="119"/>
        <v>0</v>
      </c>
      <c r="L101" s="6">
        <f t="shared" si="119"/>
        <v>0</v>
      </c>
      <c r="M101" s="6">
        <f t="shared" si="119"/>
        <v>0</v>
      </c>
      <c r="N101" s="6">
        <f t="shared" si="119"/>
        <v>0</v>
      </c>
      <c r="O101" s="6">
        <f t="shared" si="119"/>
        <v>0</v>
      </c>
      <c r="P101" s="6">
        <f t="shared" si="119"/>
        <v>0</v>
      </c>
      <c r="Q101" s="6"/>
      <c r="R101" s="6"/>
      <c r="S101" s="6"/>
      <c r="T101" s="6"/>
      <c r="U101" s="891"/>
      <c r="V101" s="967"/>
      <c r="W101" s="967"/>
      <c r="X101" s="968"/>
      <c r="Z101" s="968"/>
      <c r="AA101" s="968"/>
      <c r="AB101" s="967"/>
      <c r="AC101" s="967"/>
      <c r="AD101" s="967"/>
      <c r="AE101" s="967"/>
      <c r="AF101" s="967"/>
      <c r="AG101" s="967"/>
      <c r="AH101" s="967"/>
      <c r="AI101" s="967"/>
      <c r="AJ101" s="967"/>
      <c r="AK101" s="967"/>
      <c r="AL101" s="971"/>
      <c r="AM101" s="967"/>
      <c r="AN101" s="967"/>
      <c r="AO101" s="967"/>
    </row>
    <row r="102" spans="1:41" hidden="1">
      <c r="A102" s="17" t="s">
        <v>999</v>
      </c>
      <c r="B102" s="1108" t="s">
        <v>1000</v>
      </c>
      <c r="C102" s="6"/>
      <c r="D102" s="6"/>
      <c r="E102" s="6"/>
      <c r="F102" s="6">
        <v>0</v>
      </c>
      <c r="G102" s="6">
        <f t="shared" si="119"/>
        <v>0</v>
      </c>
      <c r="H102" s="6">
        <v>0</v>
      </c>
      <c r="I102" s="6">
        <f t="shared" si="119"/>
        <v>0</v>
      </c>
      <c r="J102" s="6">
        <f t="shared" si="119"/>
        <v>0</v>
      </c>
      <c r="K102" s="6">
        <f t="shared" si="119"/>
        <v>0</v>
      </c>
      <c r="L102" s="6">
        <f t="shared" si="119"/>
        <v>0</v>
      </c>
      <c r="M102" s="6">
        <f t="shared" si="119"/>
        <v>0</v>
      </c>
      <c r="N102" s="6">
        <f t="shared" si="119"/>
        <v>0</v>
      </c>
      <c r="O102" s="6">
        <f t="shared" si="119"/>
        <v>0</v>
      </c>
      <c r="P102" s="6">
        <f t="shared" si="119"/>
        <v>0</v>
      </c>
      <c r="Q102" s="6"/>
      <c r="R102" s="6"/>
      <c r="S102" s="6"/>
      <c r="T102" s="6"/>
      <c r="U102" s="891"/>
      <c r="V102" s="967"/>
      <c r="W102" s="967"/>
      <c r="X102" s="968"/>
      <c r="Z102" s="968"/>
      <c r="AA102" s="968"/>
      <c r="AB102" s="967"/>
      <c r="AC102" s="967"/>
      <c r="AD102" s="967"/>
      <c r="AE102" s="967"/>
      <c r="AF102" s="967"/>
      <c r="AG102" s="967"/>
      <c r="AH102" s="967"/>
      <c r="AI102" s="967"/>
      <c r="AJ102" s="967"/>
      <c r="AK102" s="967"/>
      <c r="AL102" s="971"/>
      <c r="AM102" s="967"/>
      <c r="AN102" s="967"/>
      <c r="AO102" s="967"/>
    </row>
    <row r="103" spans="1:41" hidden="1">
      <c r="A103" s="17" t="s">
        <v>1001</v>
      </c>
      <c r="B103" s="1108" t="s">
        <v>1002</v>
      </c>
      <c r="C103" s="32" t="e">
        <f>+C104+C105+C110+C111+C112+C113+#REF!</f>
        <v>#REF!</v>
      </c>
      <c r="D103" s="32" t="e">
        <f>+D104+D105+D110+D111+D112+D113+#REF!</f>
        <v>#REF!</v>
      </c>
      <c r="E103" s="32" t="e">
        <f>+E104+E105+E110+E111+E112+E113+#REF!</f>
        <v>#REF!</v>
      </c>
      <c r="F103" s="32" t="e">
        <f>+F104+F105+F110+F111+F112+F113+#REF!</f>
        <v>#REF!</v>
      </c>
      <c r="G103" s="32" t="e">
        <f>+G104+G105+G110+G111+G112+G113+#REF!</f>
        <v>#REF!</v>
      </c>
      <c r="H103" s="32">
        <v>0</v>
      </c>
      <c r="I103" s="32">
        <f>+I104+I105+I110+I111+I112+I113</f>
        <v>0</v>
      </c>
      <c r="J103" s="32">
        <f t="shared" ref="J103:P103" si="120">+J104+J105+J110+J111+J112+J113</f>
        <v>0</v>
      </c>
      <c r="K103" s="32">
        <f t="shared" si="120"/>
        <v>0</v>
      </c>
      <c r="L103" s="32">
        <f t="shared" si="120"/>
        <v>0</v>
      </c>
      <c r="M103" s="32">
        <f t="shared" si="120"/>
        <v>0</v>
      </c>
      <c r="N103" s="32">
        <f t="shared" si="120"/>
        <v>0</v>
      </c>
      <c r="O103" s="32">
        <f t="shared" si="120"/>
        <v>0</v>
      </c>
      <c r="P103" s="32">
        <f t="shared" si="120"/>
        <v>0</v>
      </c>
      <c r="Q103" s="32"/>
      <c r="R103" s="32"/>
      <c r="S103" s="32"/>
      <c r="T103" s="32"/>
      <c r="U103" s="891"/>
      <c r="V103" s="967"/>
      <c r="W103" s="967"/>
      <c r="X103" s="968"/>
      <c r="Z103" s="968"/>
      <c r="AA103" s="968"/>
      <c r="AB103" s="967"/>
      <c r="AC103" s="967"/>
      <c r="AD103" s="967"/>
      <c r="AE103" s="967"/>
      <c r="AF103" s="967"/>
      <c r="AG103" s="967"/>
      <c r="AH103" s="967"/>
      <c r="AI103" s="967"/>
      <c r="AJ103" s="967"/>
      <c r="AK103" s="967"/>
      <c r="AL103" s="971"/>
      <c r="AM103" s="967"/>
      <c r="AN103" s="967"/>
      <c r="AO103" s="967"/>
    </row>
    <row r="104" spans="1:41" ht="22.5" hidden="1">
      <c r="A104" s="17" t="s">
        <v>1003</v>
      </c>
      <c r="B104" s="1108" t="s">
        <v>1004</v>
      </c>
      <c r="C104" s="6"/>
      <c r="D104" s="6"/>
      <c r="E104" s="6"/>
      <c r="F104" s="6">
        <v>0</v>
      </c>
      <c r="G104" s="6">
        <f t="shared" ref="G104:P104" si="121">+F104*1.04</f>
        <v>0</v>
      </c>
      <c r="H104" s="6">
        <v>0</v>
      </c>
      <c r="I104" s="6">
        <f t="shared" si="121"/>
        <v>0</v>
      </c>
      <c r="J104" s="6">
        <f t="shared" si="121"/>
        <v>0</v>
      </c>
      <c r="K104" s="6">
        <f t="shared" si="121"/>
        <v>0</v>
      </c>
      <c r="L104" s="6">
        <f t="shared" si="121"/>
        <v>0</v>
      </c>
      <c r="M104" s="6">
        <f t="shared" si="121"/>
        <v>0</v>
      </c>
      <c r="N104" s="6">
        <f t="shared" si="121"/>
        <v>0</v>
      </c>
      <c r="O104" s="6">
        <f t="shared" si="121"/>
        <v>0</v>
      </c>
      <c r="P104" s="6">
        <f t="shared" si="121"/>
        <v>0</v>
      </c>
      <c r="Q104" s="6"/>
      <c r="R104" s="6"/>
      <c r="S104" s="6"/>
      <c r="T104" s="6"/>
      <c r="U104" s="891"/>
      <c r="V104" s="967"/>
      <c r="W104" s="967"/>
      <c r="X104" s="968"/>
      <c r="Z104" s="968"/>
      <c r="AA104" s="968"/>
      <c r="AB104" s="967"/>
      <c r="AC104" s="967"/>
      <c r="AD104" s="967"/>
      <c r="AE104" s="967"/>
      <c r="AF104" s="967"/>
      <c r="AG104" s="967"/>
      <c r="AH104" s="967"/>
      <c r="AI104" s="967"/>
      <c r="AJ104" s="967"/>
      <c r="AK104" s="967"/>
      <c r="AL104" s="971"/>
      <c r="AM104" s="967"/>
      <c r="AN104" s="967"/>
      <c r="AO104" s="967"/>
    </row>
    <row r="105" spans="1:41" hidden="1">
      <c r="A105" s="17" t="s">
        <v>1005</v>
      </c>
      <c r="B105" s="1108" t="s">
        <v>1006</v>
      </c>
      <c r="C105" s="32">
        <f>SUM(C106:C109)</f>
        <v>0</v>
      </c>
      <c r="D105" s="32">
        <f t="shared" ref="D105:P105" si="122">SUM(D106:D109)</f>
        <v>0</v>
      </c>
      <c r="E105" s="32">
        <f t="shared" si="122"/>
        <v>0</v>
      </c>
      <c r="F105" s="32">
        <f t="shared" si="122"/>
        <v>0</v>
      </c>
      <c r="G105" s="32">
        <f t="shared" si="122"/>
        <v>0</v>
      </c>
      <c r="H105" s="32">
        <v>0</v>
      </c>
      <c r="I105" s="32">
        <f t="shared" si="122"/>
        <v>0</v>
      </c>
      <c r="J105" s="32">
        <f t="shared" si="122"/>
        <v>0</v>
      </c>
      <c r="K105" s="32">
        <f t="shared" si="122"/>
        <v>0</v>
      </c>
      <c r="L105" s="32">
        <f t="shared" si="122"/>
        <v>0</v>
      </c>
      <c r="M105" s="32">
        <f t="shared" si="122"/>
        <v>0</v>
      </c>
      <c r="N105" s="32">
        <f t="shared" si="122"/>
        <v>0</v>
      </c>
      <c r="O105" s="32">
        <f t="shared" si="122"/>
        <v>0</v>
      </c>
      <c r="P105" s="32">
        <f t="shared" si="122"/>
        <v>0</v>
      </c>
      <c r="Q105" s="32"/>
      <c r="R105" s="32"/>
      <c r="S105" s="32"/>
      <c r="T105" s="32"/>
      <c r="U105" s="891"/>
      <c r="V105" s="967"/>
      <c r="W105" s="967"/>
      <c r="X105" s="968"/>
      <c r="Z105" s="968"/>
      <c r="AA105" s="968"/>
      <c r="AB105" s="967"/>
      <c r="AC105" s="967"/>
      <c r="AD105" s="967"/>
      <c r="AE105" s="967"/>
      <c r="AF105" s="967"/>
      <c r="AG105" s="967"/>
      <c r="AH105" s="967"/>
      <c r="AI105" s="967"/>
      <c r="AJ105" s="967"/>
      <c r="AK105" s="967"/>
      <c r="AL105" s="971"/>
      <c r="AM105" s="967"/>
      <c r="AN105" s="967"/>
      <c r="AO105" s="967"/>
    </row>
    <row r="106" spans="1:41" hidden="1">
      <c r="A106" s="19" t="s">
        <v>1007</v>
      </c>
      <c r="B106" s="1145" t="s">
        <v>1008</v>
      </c>
      <c r="C106" s="6"/>
      <c r="D106" s="6"/>
      <c r="E106" s="6"/>
      <c r="F106" s="6">
        <v>0</v>
      </c>
      <c r="G106" s="6">
        <f t="shared" ref="G106:P106" si="123">+F106*1.04</f>
        <v>0</v>
      </c>
      <c r="H106" s="6">
        <v>0</v>
      </c>
      <c r="I106" s="6">
        <f t="shared" si="123"/>
        <v>0</v>
      </c>
      <c r="J106" s="6">
        <f t="shared" si="123"/>
        <v>0</v>
      </c>
      <c r="K106" s="6">
        <f t="shared" si="123"/>
        <v>0</v>
      </c>
      <c r="L106" s="6">
        <f t="shared" si="123"/>
        <v>0</v>
      </c>
      <c r="M106" s="6">
        <f t="shared" si="123"/>
        <v>0</v>
      </c>
      <c r="N106" s="6">
        <f t="shared" si="123"/>
        <v>0</v>
      </c>
      <c r="O106" s="6">
        <f t="shared" si="123"/>
        <v>0</v>
      </c>
      <c r="P106" s="6">
        <f t="shared" si="123"/>
        <v>0</v>
      </c>
      <c r="Q106" s="6"/>
      <c r="R106" s="6"/>
      <c r="S106" s="6"/>
      <c r="T106" s="6"/>
      <c r="U106" s="891"/>
      <c r="V106" s="967"/>
      <c r="W106" s="967"/>
      <c r="X106" s="968"/>
      <c r="Z106" s="968"/>
      <c r="AA106" s="968"/>
      <c r="AB106" s="967"/>
      <c r="AC106" s="967"/>
      <c r="AD106" s="967"/>
      <c r="AE106" s="967"/>
      <c r="AF106" s="967"/>
      <c r="AG106" s="967"/>
      <c r="AH106" s="967"/>
      <c r="AI106" s="967"/>
      <c r="AJ106" s="967"/>
      <c r="AK106" s="967"/>
      <c r="AL106" s="971"/>
      <c r="AM106" s="967"/>
      <c r="AN106" s="967"/>
      <c r="AO106" s="967"/>
    </row>
    <row r="107" spans="1:41" hidden="1">
      <c r="A107" s="19" t="s">
        <v>1009</v>
      </c>
      <c r="B107" s="1145" t="s">
        <v>1010</v>
      </c>
      <c r="C107" s="6"/>
      <c r="D107" s="6"/>
      <c r="E107" s="6"/>
      <c r="F107" s="6">
        <v>0</v>
      </c>
      <c r="G107" s="6">
        <f t="shared" ref="G107:P107" si="124">+F107*1.04</f>
        <v>0</v>
      </c>
      <c r="H107" s="6">
        <v>0</v>
      </c>
      <c r="I107" s="6">
        <f t="shared" si="124"/>
        <v>0</v>
      </c>
      <c r="J107" s="6">
        <f t="shared" si="124"/>
        <v>0</v>
      </c>
      <c r="K107" s="6">
        <f t="shared" si="124"/>
        <v>0</v>
      </c>
      <c r="L107" s="6">
        <f t="shared" si="124"/>
        <v>0</v>
      </c>
      <c r="M107" s="6">
        <f t="shared" si="124"/>
        <v>0</v>
      </c>
      <c r="N107" s="6">
        <f t="shared" si="124"/>
        <v>0</v>
      </c>
      <c r="O107" s="6">
        <f t="shared" si="124"/>
        <v>0</v>
      </c>
      <c r="P107" s="6">
        <f t="shared" si="124"/>
        <v>0</v>
      </c>
      <c r="Q107" s="6"/>
      <c r="R107" s="6"/>
      <c r="S107" s="6"/>
      <c r="T107" s="6"/>
      <c r="U107" s="891"/>
      <c r="V107" s="967"/>
      <c r="W107" s="967"/>
      <c r="X107" s="968"/>
      <c r="Z107" s="968"/>
      <c r="AA107" s="968"/>
      <c r="AB107" s="967"/>
      <c r="AC107" s="967"/>
      <c r="AD107" s="967"/>
      <c r="AE107" s="967"/>
      <c r="AF107" s="967"/>
      <c r="AG107" s="967"/>
      <c r="AH107" s="967"/>
      <c r="AI107" s="967"/>
      <c r="AJ107" s="967"/>
      <c r="AK107" s="967"/>
      <c r="AL107" s="971"/>
      <c r="AM107" s="967"/>
      <c r="AN107" s="967"/>
      <c r="AO107" s="967"/>
    </row>
    <row r="108" spans="1:41" hidden="1">
      <c r="A108" s="19" t="s">
        <v>1011</v>
      </c>
      <c r="B108" s="1145" t="s">
        <v>1012</v>
      </c>
      <c r="C108" s="6"/>
      <c r="D108" s="6"/>
      <c r="E108" s="6"/>
      <c r="F108" s="6">
        <v>0</v>
      </c>
      <c r="G108" s="6">
        <f t="shared" ref="G108:P108" si="125">+F108*1.04</f>
        <v>0</v>
      </c>
      <c r="H108" s="6">
        <v>0</v>
      </c>
      <c r="I108" s="6">
        <f t="shared" si="125"/>
        <v>0</v>
      </c>
      <c r="J108" s="6">
        <f t="shared" si="125"/>
        <v>0</v>
      </c>
      <c r="K108" s="6">
        <f t="shared" si="125"/>
        <v>0</v>
      </c>
      <c r="L108" s="6">
        <f t="shared" si="125"/>
        <v>0</v>
      </c>
      <c r="M108" s="6">
        <f t="shared" si="125"/>
        <v>0</v>
      </c>
      <c r="N108" s="6">
        <f t="shared" si="125"/>
        <v>0</v>
      </c>
      <c r="O108" s="6">
        <f t="shared" si="125"/>
        <v>0</v>
      </c>
      <c r="P108" s="6">
        <f t="shared" si="125"/>
        <v>0</v>
      </c>
      <c r="Q108" s="6"/>
      <c r="R108" s="6"/>
      <c r="S108" s="6"/>
      <c r="T108" s="6"/>
      <c r="U108" s="891"/>
      <c r="V108" s="967"/>
      <c r="W108" s="967"/>
      <c r="X108" s="968"/>
      <c r="Z108" s="968"/>
      <c r="AA108" s="968"/>
      <c r="AB108" s="967"/>
      <c r="AC108" s="967"/>
      <c r="AD108" s="967"/>
      <c r="AE108" s="967"/>
      <c r="AF108" s="967"/>
      <c r="AG108" s="967"/>
      <c r="AH108" s="967"/>
      <c r="AI108" s="967"/>
      <c r="AJ108" s="967"/>
      <c r="AK108" s="967"/>
      <c r="AL108" s="971"/>
      <c r="AM108" s="967"/>
      <c r="AN108" s="967"/>
      <c r="AO108" s="967"/>
    </row>
    <row r="109" spans="1:41" hidden="1">
      <c r="A109" s="19" t="s">
        <v>1013</v>
      </c>
      <c r="B109" s="1145" t="s">
        <v>1014</v>
      </c>
      <c r="C109" s="6"/>
      <c r="D109" s="6"/>
      <c r="E109" s="6"/>
      <c r="F109" s="6">
        <v>0</v>
      </c>
      <c r="G109" s="6">
        <f t="shared" ref="G109:P109" si="126">+F109*1.04</f>
        <v>0</v>
      </c>
      <c r="H109" s="6">
        <v>0</v>
      </c>
      <c r="I109" s="6">
        <f t="shared" si="126"/>
        <v>0</v>
      </c>
      <c r="J109" s="6">
        <f t="shared" si="126"/>
        <v>0</v>
      </c>
      <c r="K109" s="6">
        <f t="shared" si="126"/>
        <v>0</v>
      </c>
      <c r="L109" s="6">
        <f t="shared" si="126"/>
        <v>0</v>
      </c>
      <c r="M109" s="6">
        <f t="shared" si="126"/>
        <v>0</v>
      </c>
      <c r="N109" s="6">
        <f t="shared" si="126"/>
        <v>0</v>
      </c>
      <c r="O109" s="6">
        <f t="shared" si="126"/>
        <v>0</v>
      </c>
      <c r="P109" s="6">
        <f t="shared" si="126"/>
        <v>0</v>
      </c>
      <c r="Q109" s="6"/>
      <c r="R109" s="6"/>
      <c r="S109" s="6"/>
      <c r="T109" s="6"/>
      <c r="U109" s="891"/>
      <c r="V109" s="967"/>
      <c r="W109" s="967"/>
      <c r="X109" s="968"/>
      <c r="Z109" s="968"/>
      <c r="AA109" s="968"/>
      <c r="AB109" s="967"/>
      <c r="AC109" s="967"/>
      <c r="AD109" s="967"/>
      <c r="AE109" s="967"/>
      <c r="AF109" s="967"/>
      <c r="AG109" s="967"/>
      <c r="AH109" s="967"/>
      <c r="AI109" s="967"/>
      <c r="AJ109" s="967"/>
      <c r="AK109" s="967"/>
      <c r="AL109" s="971"/>
      <c r="AM109" s="967"/>
      <c r="AN109" s="967"/>
      <c r="AO109" s="967"/>
    </row>
    <row r="110" spans="1:41" hidden="1">
      <c r="A110" s="17" t="s">
        <v>1015</v>
      </c>
      <c r="B110" s="1108" t="s">
        <v>1016</v>
      </c>
      <c r="C110" s="6"/>
      <c r="D110" s="6"/>
      <c r="E110" s="6"/>
      <c r="F110" s="6">
        <v>0</v>
      </c>
      <c r="G110" s="6">
        <f t="shared" ref="G110:P110" si="127">+F110*1.04</f>
        <v>0</v>
      </c>
      <c r="H110" s="6">
        <v>0</v>
      </c>
      <c r="I110" s="6">
        <f t="shared" si="127"/>
        <v>0</v>
      </c>
      <c r="J110" s="6">
        <f t="shared" si="127"/>
        <v>0</v>
      </c>
      <c r="K110" s="6">
        <f t="shared" si="127"/>
        <v>0</v>
      </c>
      <c r="L110" s="6">
        <f t="shared" si="127"/>
        <v>0</v>
      </c>
      <c r="M110" s="6">
        <f t="shared" si="127"/>
        <v>0</v>
      </c>
      <c r="N110" s="6">
        <f t="shared" si="127"/>
        <v>0</v>
      </c>
      <c r="O110" s="6">
        <f t="shared" si="127"/>
        <v>0</v>
      </c>
      <c r="P110" s="6">
        <f t="shared" si="127"/>
        <v>0</v>
      </c>
      <c r="Q110" s="6"/>
      <c r="R110" s="6"/>
      <c r="S110" s="6"/>
      <c r="T110" s="6"/>
      <c r="U110" s="891"/>
      <c r="V110" s="967"/>
      <c r="W110" s="967"/>
      <c r="X110" s="968"/>
      <c r="Z110" s="968"/>
      <c r="AA110" s="968"/>
      <c r="AB110" s="967"/>
      <c r="AC110" s="967"/>
      <c r="AD110" s="967"/>
      <c r="AE110" s="967"/>
      <c r="AF110" s="967"/>
      <c r="AG110" s="967"/>
      <c r="AH110" s="967"/>
      <c r="AI110" s="967"/>
      <c r="AJ110" s="967"/>
      <c r="AK110" s="967"/>
      <c r="AL110" s="971"/>
      <c r="AM110" s="967"/>
      <c r="AN110" s="967"/>
      <c r="AO110" s="967"/>
    </row>
    <row r="111" spans="1:41" hidden="1">
      <c r="A111" s="17" t="s">
        <v>1017</v>
      </c>
      <c r="B111" s="1108" t="s">
        <v>1018</v>
      </c>
      <c r="C111" s="6"/>
      <c r="D111" s="6"/>
      <c r="E111" s="6"/>
      <c r="F111" s="6">
        <v>0</v>
      </c>
      <c r="G111" s="6">
        <f t="shared" ref="G111:P111" si="128">+F111*1.04</f>
        <v>0</v>
      </c>
      <c r="H111" s="6">
        <v>0</v>
      </c>
      <c r="I111" s="6">
        <f t="shared" si="128"/>
        <v>0</v>
      </c>
      <c r="J111" s="6">
        <f t="shared" si="128"/>
        <v>0</v>
      </c>
      <c r="K111" s="6">
        <f t="shared" si="128"/>
        <v>0</v>
      </c>
      <c r="L111" s="6">
        <f t="shared" si="128"/>
        <v>0</v>
      </c>
      <c r="M111" s="6">
        <f t="shared" si="128"/>
        <v>0</v>
      </c>
      <c r="N111" s="6">
        <f t="shared" si="128"/>
        <v>0</v>
      </c>
      <c r="O111" s="6">
        <f t="shared" si="128"/>
        <v>0</v>
      </c>
      <c r="P111" s="6">
        <f t="shared" si="128"/>
        <v>0</v>
      </c>
      <c r="Q111" s="6"/>
      <c r="R111" s="6"/>
      <c r="S111" s="6"/>
      <c r="T111" s="6"/>
      <c r="U111" s="891"/>
      <c r="V111" s="967"/>
      <c r="W111" s="967"/>
      <c r="X111" s="968"/>
      <c r="Z111" s="968"/>
      <c r="AA111" s="968"/>
      <c r="AB111" s="967"/>
      <c r="AC111" s="967"/>
      <c r="AD111" s="967"/>
      <c r="AE111" s="967"/>
      <c r="AF111" s="967"/>
      <c r="AG111" s="967"/>
      <c r="AH111" s="967"/>
      <c r="AI111" s="967"/>
      <c r="AJ111" s="967"/>
      <c r="AK111" s="967"/>
      <c r="AL111" s="971"/>
      <c r="AM111" s="967"/>
      <c r="AN111" s="967"/>
      <c r="AO111" s="967"/>
    </row>
    <row r="112" spans="1:41" hidden="1">
      <c r="A112" s="17" t="s">
        <v>1019</v>
      </c>
      <c r="B112" s="1108" t="s">
        <v>1020</v>
      </c>
      <c r="C112" s="6"/>
      <c r="D112" s="6"/>
      <c r="E112" s="6"/>
      <c r="F112" s="6">
        <v>0</v>
      </c>
      <c r="G112" s="6">
        <f t="shared" ref="G112:P112" si="129">+F112*1.04</f>
        <v>0</v>
      </c>
      <c r="H112" s="6">
        <v>0</v>
      </c>
      <c r="I112" s="6">
        <f t="shared" si="129"/>
        <v>0</v>
      </c>
      <c r="J112" s="6">
        <f t="shared" si="129"/>
        <v>0</v>
      </c>
      <c r="K112" s="6">
        <f t="shared" si="129"/>
        <v>0</v>
      </c>
      <c r="L112" s="6">
        <f t="shared" si="129"/>
        <v>0</v>
      </c>
      <c r="M112" s="6">
        <f t="shared" si="129"/>
        <v>0</v>
      </c>
      <c r="N112" s="6">
        <f t="shared" si="129"/>
        <v>0</v>
      </c>
      <c r="O112" s="6">
        <f t="shared" si="129"/>
        <v>0</v>
      </c>
      <c r="P112" s="6">
        <f t="shared" si="129"/>
        <v>0</v>
      </c>
      <c r="Q112" s="6"/>
      <c r="R112" s="6"/>
      <c r="S112" s="6"/>
      <c r="T112" s="6"/>
      <c r="U112" s="891"/>
      <c r="V112" s="967"/>
      <c r="W112" s="967"/>
      <c r="X112" s="968"/>
      <c r="Z112" s="968"/>
      <c r="AA112" s="968"/>
      <c r="AB112" s="967"/>
      <c r="AC112" s="967"/>
      <c r="AD112" s="967"/>
      <c r="AE112" s="967"/>
      <c r="AF112" s="967"/>
      <c r="AG112" s="967"/>
      <c r="AH112" s="967"/>
      <c r="AI112" s="967"/>
      <c r="AJ112" s="967"/>
      <c r="AK112" s="967"/>
      <c r="AL112" s="971"/>
      <c r="AM112" s="967"/>
      <c r="AN112" s="967"/>
      <c r="AO112" s="967"/>
    </row>
    <row r="113" spans="1:41" hidden="1">
      <c r="A113" s="17" t="s">
        <v>1021</v>
      </c>
      <c r="B113" s="1108" t="s">
        <v>1022</v>
      </c>
      <c r="C113" s="6"/>
      <c r="D113" s="6"/>
      <c r="E113" s="6"/>
      <c r="F113" s="6">
        <v>1000</v>
      </c>
      <c r="G113" s="6">
        <f t="shared" ref="G113:P113" si="130">+F113*1.04</f>
        <v>1040</v>
      </c>
      <c r="H113" s="6">
        <v>0</v>
      </c>
      <c r="I113" s="6">
        <v>0</v>
      </c>
      <c r="J113" s="6">
        <f t="shared" si="130"/>
        <v>0</v>
      </c>
      <c r="K113" s="6">
        <f t="shared" si="130"/>
        <v>0</v>
      </c>
      <c r="L113" s="6">
        <f t="shared" si="130"/>
        <v>0</v>
      </c>
      <c r="M113" s="6">
        <f t="shared" si="130"/>
        <v>0</v>
      </c>
      <c r="N113" s="6">
        <f t="shared" si="130"/>
        <v>0</v>
      </c>
      <c r="O113" s="6">
        <f t="shared" si="130"/>
        <v>0</v>
      </c>
      <c r="P113" s="6">
        <f t="shared" si="130"/>
        <v>0</v>
      </c>
      <c r="Q113" s="6"/>
      <c r="R113" s="6"/>
      <c r="S113" s="6"/>
      <c r="T113" s="6"/>
      <c r="U113" s="891"/>
      <c r="V113" s="967"/>
      <c r="W113" s="967"/>
      <c r="X113" s="968"/>
      <c r="Z113" s="968"/>
      <c r="AA113" s="968"/>
      <c r="AB113" s="967"/>
      <c r="AC113" s="967"/>
      <c r="AD113" s="967"/>
      <c r="AE113" s="967"/>
      <c r="AF113" s="967"/>
      <c r="AG113" s="967"/>
      <c r="AH113" s="967"/>
      <c r="AI113" s="967"/>
      <c r="AJ113" s="967"/>
      <c r="AK113" s="967"/>
      <c r="AL113" s="971"/>
      <c r="AM113" s="967"/>
      <c r="AN113" s="967"/>
      <c r="AO113" s="967"/>
    </row>
    <row r="114" spans="1:41" hidden="1">
      <c r="A114" s="17" t="s">
        <v>1025</v>
      </c>
      <c r="B114" s="1158" t="s">
        <v>481</v>
      </c>
      <c r="C114" s="1159"/>
      <c r="D114" s="1159"/>
      <c r="E114" s="1159"/>
      <c r="F114" s="1159">
        <v>500</v>
      </c>
      <c r="G114" s="1159">
        <f t="shared" ref="G114:P114" si="131">+F114*1.04</f>
        <v>520</v>
      </c>
      <c r="H114" s="1159">
        <v>540.79999999999995</v>
      </c>
      <c r="I114" s="1159">
        <v>0</v>
      </c>
      <c r="J114" s="6">
        <f>+I114*1.04</f>
        <v>0</v>
      </c>
      <c r="K114" s="1159">
        <f t="shared" si="131"/>
        <v>0</v>
      </c>
      <c r="L114" s="1159">
        <f t="shared" si="131"/>
        <v>0</v>
      </c>
      <c r="M114" s="1159">
        <f t="shared" si="131"/>
        <v>0</v>
      </c>
      <c r="N114" s="1159">
        <f t="shared" si="131"/>
        <v>0</v>
      </c>
      <c r="O114" s="1159">
        <f t="shared" si="131"/>
        <v>0</v>
      </c>
      <c r="P114" s="1159">
        <f t="shared" si="131"/>
        <v>0</v>
      </c>
      <c r="Q114" s="1159"/>
      <c r="R114" s="1159"/>
      <c r="S114" s="1159"/>
      <c r="T114" s="1159"/>
      <c r="U114" s="1160"/>
      <c r="V114" s="967"/>
      <c r="W114" s="967"/>
      <c r="X114" s="968"/>
      <c r="Z114" s="968"/>
      <c r="AA114" s="968"/>
      <c r="AB114" s="967"/>
      <c r="AC114" s="967"/>
      <c r="AD114" s="967"/>
      <c r="AE114" s="967"/>
      <c r="AF114" s="967"/>
      <c r="AG114" s="967"/>
      <c r="AH114" s="967"/>
      <c r="AI114" s="967"/>
      <c r="AJ114" s="967"/>
      <c r="AK114" s="967"/>
      <c r="AL114" s="971"/>
      <c r="AM114" s="967"/>
      <c r="AN114" s="967"/>
      <c r="AO114" s="967"/>
    </row>
    <row r="115" spans="1:41" hidden="1">
      <c r="A115" s="17" t="s">
        <v>1027</v>
      </c>
      <c r="B115" s="1108" t="s">
        <v>1028</v>
      </c>
      <c r="C115" s="6"/>
      <c r="D115" s="6"/>
      <c r="E115" s="6"/>
      <c r="F115" s="6">
        <v>0</v>
      </c>
      <c r="G115" s="6">
        <f t="shared" ref="G115:P115" si="132">+F115*1.04</f>
        <v>0</v>
      </c>
      <c r="H115" s="6">
        <f t="shared" si="132"/>
        <v>0</v>
      </c>
      <c r="I115" s="6">
        <f t="shared" si="132"/>
        <v>0</v>
      </c>
      <c r="J115" s="6">
        <f t="shared" si="132"/>
        <v>0</v>
      </c>
      <c r="K115" s="6">
        <f t="shared" si="132"/>
        <v>0</v>
      </c>
      <c r="L115" s="6">
        <f t="shared" si="132"/>
        <v>0</v>
      </c>
      <c r="M115" s="6">
        <f t="shared" si="132"/>
        <v>0</v>
      </c>
      <c r="N115" s="6">
        <f t="shared" si="132"/>
        <v>0</v>
      </c>
      <c r="O115" s="6">
        <f t="shared" si="132"/>
        <v>0</v>
      </c>
      <c r="P115" s="6">
        <f t="shared" si="132"/>
        <v>0</v>
      </c>
      <c r="Q115" s="6"/>
      <c r="R115" s="6"/>
      <c r="S115" s="6"/>
      <c r="T115" s="6"/>
      <c r="U115" s="891"/>
      <c r="V115" s="967"/>
      <c r="W115" s="967"/>
      <c r="X115" s="968"/>
      <c r="Z115" s="968"/>
      <c r="AA115" s="968"/>
      <c r="AB115" s="967"/>
      <c r="AC115" s="967"/>
      <c r="AD115" s="967"/>
      <c r="AE115" s="967"/>
      <c r="AF115" s="967"/>
      <c r="AG115" s="967"/>
      <c r="AH115" s="967"/>
      <c r="AI115" s="967"/>
      <c r="AJ115" s="967"/>
      <c r="AK115" s="967"/>
      <c r="AL115" s="971"/>
      <c r="AM115" s="967"/>
      <c r="AN115" s="967"/>
      <c r="AO115" s="967"/>
    </row>
    <row r="116" spans="1:41" hidden="1">
      <c r="A116" s="17" t="s">
        <v>1029</v>
      </c>
      <c r="B116" s="1108" t="s">
        <v>1030</v>
      </c>
      <c r="C116" s="32">
        <f>SUM(C117:C118)</f>
        <v>0</v>
      </c>
      <c r="D116" s="32">
        <f t="shared" ref="D116:P116" si="133">SUM(D117:D118)</f>
        <v>0</v>
      </c>
      <c r="E116" s="32">
        <f t="shared" si="133"/>
        <v>0</v>
      </c>
      <c r="F116" s="32">
        <f t="shared" si="133"/>
        <v>0</v>
      </c>
      <c r="G116" s="32">
        <f t="shared" si="133"/>
        <v>0</v>
      </c>
      <c r="H116" s="32">
        <f t="shared" si="133"/>
        <v>0</v>
      </c>
      <c r="I116" s="32">
        <f t="shared" si="133"/>
        <v>0</v>
      </c>
      <c r="J116" s="32">
        <f t="shared" si="133"/>
        <v>0</v>
      </c>
      <c r="K116" s="32">
        <f t="shared" si="133"/>
        <v>0</v>
      </c>
      <c r="L116" s="32">
        <f t="shared" si="133"/>
        <v>0</v>
      </c>
      <c r="M116" s="32">
        <f t="shared" si="133"/>
        <v>0</v>
      </c>
      <c r="N116" s="32">
        <f t="shared" si="133"/>
        <v>0</v>
      </c>
      <c r="O116" s="32">
        <f t="shared" si="133"/>
        <v>0</v>
      </c>
      <c r="P116" s="32">
        <f t="shared" si="133"/>
        <v>0</v>
      </c>
      <c r="Q116" s="32"/>
      <c r="R116" s="32"/>
      <c r="S116" s="32"/>
      <c r="T116" s="32"/>
      <c r="U116" s="891"/>
      <c r="V116" s="967"/>
      <c r="W116" s="967"/>
      <c r="X116" s="968"/>
      <c r="Z116" s="968"/>
      <c r="AA116" s="968"/>
      <c r="AB116" s="967"/>
      <c r="AC116" s="967"/>
      <c r="AD116" s="967"/>
      <c r="AE116" s="967"/>
      <c r="AF116" s="967"/>
      <c r="AG116" s="967"/>
      <c r="AH116" s="967"/>
      <c r="AI116" s="967"/>
      <c r="AJ116" s="967"/>
      <c r="AK116" s="967"/>
      <c r="AL116" s="971"/>
      <c r="AM116" s="967"/>
      <c r="AN116" s="967"/>
      <c r="AO116" s="967"/>
    </row>
    <row r="117" spans="1:41" hidden="1">
      <c r="A117" s="19" t="s">
        <v>1031</v>
      </c>
      <c r="B117" s="1145" t="s">
        <v>1032</v>
      </c>
      <c r="C117" s="6"/>
      <c r="D117" s="6"/>
      <c r="E117" s="6"/>
      <c r="F117" s="6">
        <v>0</v>
      </c>
      <c r="G117" s="6">
        <f t="shared" ref="G117:P117" si="134">+F117*1.04</f>
        <v>0</v>
      </c>
      <c r="H117" s="6">
        <f t="shared" si="134"/>
        <v>0</v>
      </c>
      <c r="I117" s="6">
        <f t="shared" si="134"/>
        <v>0</v>
      </c>
      <c r="J117" s="6">
        <f t="shared" si="134"/>
        <v>0</v>
      </c>
      <c r="K117" s="6">
        <f t="shared" si="134"/>
        <v>0</v>
      </c>
      <c r="L117" s="6">
        <f t="shared" si="134"/>
        <v>0</v>
      </c>
      <c r="M117" s="6">
        <f t="shared" si="134"/>
        <v>0</v>
      </c>
      <c r="N117" s="6">
        <f t="shared" si="134"/>
        <v>0</v>
      </c>
      <c r="O117" s="6">
        <f t="shared" si="134"/>
        <v>0</v>
      </c>
      <c r="P117" s="6">
        <f t="shared" si="134"/>
        <v>0</v>
      </c>
      <c r="Q117" s="6"/>
      <c r="R117" s="6"/>
      <c r="S117" s="6"/>
      <c r="T117" s="6"/>
      <c r="U117" s="891"/>
      <c r="V117" s="967"/>
      <c r="W117" s="967"/>
      <c r="X117" s="968"/>
      <c r="Z117" s="968"/>
      <c r="AA117" s="968"/>
      <c r="AB117" s="967"/>
      <c r="AC117" s="967"/>
      <c r="AD117" s="967"/>
      <c r="AE117" s="967"/>
      <c r="AF117" s="967"/>
      <c r="AG117" s="967"/>
      <c r="AH117" s="967"/>
      <c r="AI117" s="967"/>
      <c r="AJ117" s="967"/>
      <c r="AK117" s="967"/>
      <c r="AL117" s="971"/>
      <c r="AM117" s="967"/>
      <c r="AN117" s="967"/>
      <c r="AO117" s="967"/>
    </row>
    <row r="118" spans="1:41" hidden="1">
      <c r="A118" s="19" t="s">
        <v>1033</v>
      </c>
      <c r="B118" s="1145" t="s">
        <v>1034</v>
      </c>
      <c r="C118" s="6"/>
      <c r="D118" s="6"/>
      <c r="E118" s="6"/>
      <c r="F118" s="6">
        <v>0</v>
      </c>
      <c r="G118" s="6">
        <f t="shared" ref="G118:P118" si="135">+F118*1.04</f>
        <v>0</v>
      </c>
      <c r="H118" s="6">
        <f t="shared" si="135"/>
        <v>0</v>
      </c>
      <c r="I118" s="6">
        <f t="shared" si="135"/>
        <v>0</v>
      </c>
      <c r="J118" s="6">
        <f t="shared" si="135"/>
        <v>0</v>
      </c>
      <c r="K118" s="6">
        <f t="shared" si="135"/>
        <v>0</v>
      </c>
      <c r="L118" s="6">
        <f t="shared" si="135"/>
        <v>0</v>
      </c>
      <c r="M118" s="6">
        <f t="shared" si="135"/>
        <v>0</v>
      </c>
      <c r="N118" s="6">
        <f t="shared" si="135"/>
        <v>0</v>
      </c>
      <c r="O118" s="6">
        <f t="shared" si="135"/>
        <v>0</v>
      </c>
      <c r="P118" s="6">
        <f t="shared" si="135"/>
        <v>0</v>
      </c>
      <c r="Q118" s="6"/>
      <c r="R118" s="6"/>
      <c r="S118" s="6"/>
      <c r="T118" s="6"/>
      <c r="U118" s="891"/>
      <c r="V118" s="967"/>
      <c r="W118" s="967"/>
      <c r="X118" s="968"/>
      <c r="Z118" s="968"/>
      <c r="AA118" s="968"/>
      <c r="AB118" s="967"/>
      <c r="AC118" s="967"/>
      <c r="AD118" s="967"/>
      <c r="AE118" s="967"/>
      <c r="AF118" s="967"/>
      <c r="AG118" s="967"/>
      <c r="AH118" s="967"/>
      <c r="AI118" s="967"/>
      <c r="AJ118" s="967"/>
      <c r="AK118" s="967"/>
      <c r="AL118" s="971"/>
      <c r="AM118" s="967"/>
      <c r="AN118" s="967"/>
      <c r="AO118" s="967"/>
    </row>
    <row r="119" spans="1:41" hidden="1">
      <c r="A119" s="17" t="s">
        <v>1035</v>
      </c>
      <c r="B119" s="1108" t="s">
        <v>1036</v>
      </c>
      <c r="C119" s="6"/>
      <c r="D119" s="6"/>
      <c r="E119" s="6"/>
      <c r="F119" s="6">
        <v>0</v>
      </c>
      <c r="G119" s="6">
        <f t="shared" ref="G119:P119" si="136">+F119*1.04</f>
        <v>0</v>
      </c>
      <c r="H119" s="6">
        <f t="shared" si="136"/>
        <v>0</v>
      </c>
      <c r="I119" s="6">
        <f t="shared" si="136"/>
        <v>0</v>
      </c>
      <c r="J119" s="6">
        <f t="shared" si="136"/>
        <v>0</v>
      </c>
      <c r="K119" s="6">
        <f t="shared" si="136"/>
        <v>0</v>
      </c>
      <c r="L119" s="6">
        <f t="shared" si="136"/>
        <v>0</v>
      </c>
      <c r="M119" s="6">
        <f t="shared" si="136"/>
        <v>0</v>
      </c>
      <c r="N119" s="6">
        <f t="shared" si="136"/>
        <v>0</v>
      </c>
      <c r="O119" s="6">
        <f t="shared" si="136"/>
        <v>0</v>
      </c>
      <c r="P119" s="6">
        <f t="shared" si="136"/>
        <v>0</v>
      </c>
      <c r="Q119" s="6"/>
      <c r="R119" s="6"/>
      <c r="S119" s="6"/>
      <c r="T119" s="6"/>
      <c r="U119" s="891"/>
      <c r="V119" s="967"/>
      <c r="W119" s="967"/>
      <c r="X119" s="968"/>
      <c r="Z119" s="968"/>
      <c r="AA119" s="968"/>
      <c r="AB119" s="967"/>
      <c r="AC119" s="967"/>
      <c r="AD119" s="967"/>
      <c r="AE119" s="967"/>
      <c r="AF119" s="967"/>
      <c r="AG119" s="967"/>
      <c r="AH119" s="967"/>
      <c r="AI119" s="967"/>
      <c r="AJ119" s="967"/>
      <c r="AK119" s="967"/>
      <c r="AL119" s="971"/>
      <c r="AM119" s="967"/>
      <c r="AN119" s="967"/>
      <c r="AO119" s="967"/>
    </row>
    <row r="120" spans="1:41" ht="22.5" hidden="1">
      <c r="A120" s="18" t="s">
        <v>1037</v>
      </c>
      <c r="B120" s="1108" t="s">
        <v>1038</v>
      </c>
      <c r="C120" s="6"/>
      <c r="D120" s="6"/>
      <c r="E120" s="6"/>
      <c r="F120" s="6">
        <v>0</v>
      </c>
      <c r="G120" s="6">
        <f t="shared" ref="G120:P120" si="137">+F120*1.04</f>
        <v>0</v>
      </c>
      <c r="H120" s="6">
        <f t="shared" si="137"/>
        <v>0</v>
      </c>
      <c r="I120" s="6">
        <f t="shared" si="137"/>
        <v>0</v>
      </c>
      <c r="J120" s="6">
        <f t="shared" si="137"/>
        <v>0</v>
      </c>
      <c r="K120" s="6">
        <f t="shared" si="137"/>
        <v>0</v>
      </c>
      <c r="L120" s="6">
        <f t="shared" si="137"/>
        <v>0</v>
      </c>
      <c r="M120" s="6">
        <f t="shared" si="137"/>
        <v>0</v>
      </c>
      <c r="N120" s="6">
        <f t="shared" si="137"/>
        <v>0</v>
      </c>
      <c r="O120" s="6">
        <f t="shared" si="137"/>
        <v>0</v>
      </c>
      <c r="P120" s="6">
        <f t="shared" si="137"/>
        <v>0</v>
      </c>
      <c r="Q120" s="6"/>
      <c r="R120" s="6"/>
      <c r="S120" s="6"/>
      <c r="T120" s="6"/>
      <c r="U120" s="891"/>
      <c r="V120" s="967"/>
      <c r="W120" s="967"/>
      <c r="X120" s="968"/>
      <c r="Z120" s="968"/>
      <c r="AA120" s="968"/>
      <c r="AB120" s="967"/>
      <c r="AC120" s="967"/>
      <c r="AD120" s="967"/>
      <c r="AE120" s="967"/>
      <c r="AF120" s="967"/>
      <c r="AG120" s="967"/>
      <c r="AH120" s="967"/>
      <c r="AI120" s="967"/>
      <c r="AJ120" s="967"/>
      <c r="AK120" s="967"/>
      <c r="AL120" s="971"/>
      <c r="AM120" s="967"/>
      <c r="AN120" s="967"/>
      <c r="AO120" s="967"/>
    </row>
    <row r="121" spans="1:41" ht="13.5" hidden="1" thickBot="1">
      <c r="A121" s="20" t="s">
        <v>1039</v>
      </c>
      <c r="B121" s="1146" t="s">
        <v>1040</v>
      </c>
      <c r="C121" s="70"/>
      <c r="D121" s="70"/>
      <c r="E121" s="70"/>
      <c r="F121" s="70">
        <v>0</v>
      </c>
      <c r="G121" s="6">
        <f t="shared" ref="G121:P121" si="138">+F121*1.04</f>
        <v>0</v>
      </c>
      <c r="H121" s="6">
        <f t="shared" si="138"/>
        <v>0</v>
      </c>
      <c r="I121" s="6">
        <f t="shared" si="138"/>
        <v>0</v>
      </c>
      <c r="J121" s="6">
        <f t="shared" si="138"/>
        <v>0</v>
      </c>
      <c r="K121" s="6">
        <f t="shared" si="138"/>
        <v>0</v>
      </c>
      <c r="L121" s="6">
        <f t="shared" si="138"/>
        <v>0</v>
      </c>
      <c r="M121" s="6">
        <f t="shared" si="138"/>
        <v>0</v>
      </c>
      <c r="N121" s="6">
        <f t="shared" si="138"/>
        <v>0</v>
      </c>
      <c r="O121" s="6">
        <f t="shared" si="138"/>
        <v>0</v>
      </c>
      <c r="P121" s="6">
        <f t="shared" si="138"/>
        <v>0</v>
      </c>
      <c r="Q121" s="6"/>
      <c r="R121" s="6"/>
      <c r="S121" s="6"/>
      <c r="T121" s="6"/>
      <c r="U121" s="892"/>
      <c r="V121" s="967"/>
      <c r="W121" s="967"/>
      <c r="X121" s="968"/>
      <c r="Z121" s="968"/>
      <c r="AA121" s="968"/>
      <c r="AB121" s="967"/>
      <c r="AC121" s="967"/>
      <c r="AD121" s="967"/>
      <c r="AE121" s="967"/>
      <c r="AF121" s="967"/>
      <c r="AG121" s="967"/>
      <c r="AH121" s="967"/>
      <c r="AI121" s="967"/>
      <c r="AJ121" s="967"/>
      <c r="AK121" s="967"/>
      <c r="AL121" s="971"/>
      <c r="AM121" s="967"/>
      <c r="AN121" s="967"/>
      <c r="AO121" s="967"/>
    </row>
    <row r="122" spans="1:41" hidden="1">
      <c r="A122" s="403" t="str">
        <f t="shared" ref="A122:A140" si="139">A148</f>
        <v>1110216</v>
      </c>
      <c r="B122" s="1147" t="str">
        <f t="shared" ref="B122:U122" si="140">B148</f>
        <v>Sobretasa a la Gasolina</v>
      </c>
      <c r="C122" s="403">
        <f t="shared" si="140"/>
        <v>0</v>
      </c>
      <c r="D122" s="403">
        <f t="shared" si="140"/>
        <v>0</v>
      </c>
      <c r="E122" s="403">
        <f t="shared" si="140"/>
        <v>0</v>
      </c>
      <c r="F122" s="403">
        <f t="shared" si="140"/>
        <v>0</v>
      </c>
      <c r="G122" s="403">
        <f t="shared" si="140"/>
        <v>0</v>
      </c>
      <c r="H122" s="403">
        <f t="shared" si="140"/>
        <v>0</v>
      </c>
      <c r="I122" s="403">
        <f t="shared" si="140"/>
        <v>0</v>
      </c>
      <c r="J122" s="403">
        <f t="shared" ref="J122:J140" si="141">J148</f>
        <v>0</v>
      </c>
      <c r="K122" s="403">
        <f t="shared" si="140"/>
        <v>0</v>
      </c>
      <c r="L122" s="403">
        <f t="shared" si="140"/>
        <v>0</v>
      </c>
      <c r="M122" s="403">
        <f t="shared" si="140"/>
        <v>0</v>
      </c>
      <c r="N122" s="403">
        <f t="shared" si="140"/>
        <v>0</v>
      </c>
      <c r="O122" s="403">
        <f t="shared" si="140"/>
        <v>0</v>
      </c>
      <c r="P122" s="403">
        <f t="shared" si="140"/>
        <v>0</v>
      </c>
      <c r="Q122" s="403"/>
      <c r="R122" s="403"/>
      <c r="S122" s="403"/>
      <c r="T122" s="403"/>
      <c r="U122" s="403">
        <f t="shared" si="140"/>
        <v>0</v>
      </c>
      <c r="V122" s="967"/>
      <c r="W122" s="967"/>
      <c r="X122" s="968"/>
      <c r="Y122" s="968"/>
      <c r="Z122" s="968"/>
      <c r="AA122" s="968"/>
      <c r="AB122" s="967"/>
      <c r="AC122" s="967"/>
      <c r="AD122" s="967"/>
      <c r="AE122" s="967"/>
      <c r="AF122" s="967"/>
      <c r="AG122" s="967"/>
      <c r="AH122" s="967"/>
      <c r="AI122" s="967"/>
      <c r="AJ122" s="967"/>
      <c r="AK122" s="967"/>
      <c r="AL122" s="971"/>
      <c r="AM122" s="967"/>
      <c r="AN122" s="967"/>
      <c r="AO122" s="967"/>
    </row>
    <row r="123" spans="1:41" hidden="1">
      <c r="A123" s="403" t="str">
        <f t="shared" si="139"/>
        <v>11205020810</v>
      </c>
      <c r="B123" s="1147" t="str">
        <f t="shared" ref="B123:U123" si="142">B149</f>
        <v>Impuesto al Transporte de Hidrocarburos</v>
      </c>
      <c r="C123" s="403">
        <f t="shared" si="142"/>
        <v>0</v>
      </c>
      <c r="D123" s="403">
        <f t="shared" si="142"/>
        <v>0</v>
      </c>
      <c r="E123" s="403">
        <f t="shared" si="142"/>
        <v>0</v>
      </c>
      <c r="F123" s="403">
        <f t="shared" si="142"/>
        <v>0</v>
      </c>
      <c r="G123" s="403">
        <f t="shared" si="142"/>
        <v>0</v>
      </c>
      <c r="H123" s="403">
        <f t="shared" si="142"/>
        <v>0</v>
      </c>
      <c r="I123" s="403">
        <f t="shared" si="142"/>
        <v>0</v>
      </c>
      <c r="J123" s="403">
        <f t="shared" si="141"/>
        <v>0</v>
      </c>
      <c r="K123" s="403">
        <f t="shared" si="142"/>
        <v>0</v>
      </c>
      <c r="L123" s="403">
        <f t="shared" si="142"/>
        <v>0</v>
      </c>
      <c r="M123" s="403">
        <f t="shared" si="142"/>
        <v>0</v>
      </c>
      <c r="N123" s="403">
        <f t="shared" si="142"/>
        <v>0</v>
      </c>
      <c r="O123" s="403">
        <f t="shared" si="142"/>
        <v>0</v>
      </c>
      <c r="P123" s="403">
        <f t="shared" si="142"/>
        <v>0</v>
      </c>
      <c r="Q123" s="403"/>
      <c r="R123" s="403"/>
      <c r="S123" s="403"/>
      <c r="T123" s="403"/>
      <c r="U123" s="403">
        <f t="shared" si="142"/>
        <v>0</v>
      </c>
      <c r="V123" s="967"/>
      <c r="W123" s="967"/>
      <c r="X123" s="968"/>
      <c r="Y123" s="968"/>
      <c r="Z123" s="968"/>
      <c r="AA123" s="968"/>
      <c r="AB123" s="967"/>
      <c r="AC123" s="967"/>
      <c r="AD123" s="967"/>
      <c r="AE123" s="967"/>
      <c r="AF123" s="967"/>
      <c r="AG123" s="967"/>
      <c r="AH123" s="967"/>
      <c r="AI123" s="967"/>
      <c r="AJ123" s="967"/>
      <c r="AK123" s="967"/>
      <c r="AL123" s="971"/>
      <c r="AM123" s="967"/>
      <c r="AN123" s="967"/>
      <c r="AO123" s="967"/>
    </row>
    <row r="124" spans="1:41" hidden="1">
      <c r="A124" s="403" t="str">
        <f t="shared" si="139"/>
        <v>112050207</v>
      </c>
      <c r="B124" s="1147" t="str">
        <f t="shared" ref="B124:U124" si="143">B150</f>
        <v>Regalías</v>
      </c>
      <c r="C124" s="403">
        <f t="shared" si="143"/>
        <v>0</v>
      </c>
      <c r="D124" s="403">
        <f t="shared" si="143"/>
        <v>0</v>
      </c>
      <c r="E124" s="403">
        <f t="shared" si="143"/>
        <v>0</v>
      </c>
      <c r="F124" s="403">
        <f t="shared" si="143"/>
        <v>0</v>
      </c>
      <c r="G124" s="403">
        <f t="shared" si="143"/>
        <v>0</v>
      </c>
      <c r="H124" s="403">
        <f t="shared" si="143"/>
        <v>0</v>
      </c>
      <c r="I124" s="403">
        <f t="shared" si="143"/>
        <v>0</v>
      </c>
      <c r="J124" s="403">
        <f t="shared" si="141"/>
        <v>0</v>
      </c>
      <c r="K124" s="403">
        <f t="shared" si="143"/>
        <v>0</v>
      </c>
      <c r="L124" s="403">
        <f t="shared" si="143"/>
        <v>0</v>
      </c>
      <c r="M124" s="403">
        <f t="shared" si="143"/>
        <v>0</v>
      </c>
      <c r="N124" s="403">
        <f t="shared" si="143"/>
        <v>0</v>
      </c>
      <c r="O124" s="403">
        <f t="shared" si="143"/>
        <v>0</v>
      </c>
      <c r="P124" s="403">
        <f t="shared" si="143"/>
        <v>0</v>
      </c>
      <c r="Q124" s="403"/>
      <c r="R124" s="403"/>
      <c r="S124" s="403"/>
      <c r="T124" s="403"/>
      <c r="U124" s="403">
        <f t="shared" si="143"/>
        <v>0</v>
      </c>
      <c r="V124" s="967"/>
      <c r="W124" s="967"/>
      <c r="X124" s="968"/>
      <c r="Y124" s="968"/>
      <c r="Z124" s="968"/>
      <c r="AA124" s="968"/>
      <c r="AB124" s="967"/>
      <c r="AC124" s="967"/>
      <c r="AD124" s="967"/>
      <c r="AE124" s="967"/>
      <c r="AF124" s="967"/>
      <c r="AG124" s="967"/>
      <c r="AH124" s="967"/>
      <c r="AI124" s="967"/>
      <c r="AJ124" s="967"/>
      <c r="AK124" s="967"/>
      <c r="AL124" s="971"/>
      <c r="AM124" s="967"/>
      <c r="AN124" s="967"/>
      <c r="AO124" s="967"/>
    </row>
    <row r="125" spans="1:41" hidden="1">
      <c r="A125" s="403" t="str">
        <f t="shared" si="139"/>
        <v>12202</v>
      </c>
      <c r="B125" s="1147" t="str">
        <f t="shared" ref="B125:U125" si="144">B151</f>
        <v>Recuperación de Cartera</v>
      </c>
      <c r="C125" s="403">
        <f t="shared" si="144"/>
        <v>0</v>
      </c>
      <c r="D125" s="403">
        <f t="shared" si="144"/>
        <v>0</v>
      </c>
      <c r="E125" s="403">
        <f t="shared" si="144"/>
        <v>0</v>
      </c>
      <c r="F125" s="403">
        <f t="shared" si="144"/>
        <v>0</v>
      </c>
      <c r="G125" s="403">
        <f t="shared" si="144"/>
        <v>0</v>
      </c>
      <c r="H125" s="403">
        <f t="shared" si="144"/>
        <v>0</v>
      </c>
      <c r="I125" s="403">
        <f t="shared" si="144"/>
        <v>0</v>
      </c>
      <c r="J125" s="403">
        <f t="shared" si="141"/>
        <v>0</v>
      </c>
      <c r="K125" s="403">
        <f t="shared" si="144"/>
        <v>0</v>
      </c>
      <c r="L125" s="403">
        <f t="shared" si="144"/>
        <v>0</v>
      </c>
      <c r="M125" s="403">
        <f t="shared" si="144"/>
        <v>0</v>
      </c>
      <c r="N125" s="403">
        <f t="shared" si="144"/>
        <v>0</v>
      </c>
      <c r="O125" s="403">
        <f t="shared" si="144"/>
        <v>0</v>
      </c>
      <c r="P125" s="403">
        <f t="shared" si="144"/>
        <v>0</v>
      </c>
      <c r="Q125" s="403"/>
      <c r="R125" s="403"/>
      <c r="S125" s="403"/>
      <c r="T125" s="403"/>
      <c r="U125" s="403">
        <f t="shared" si="144"/>
        <v>0</v>
      </c>
      <c r="V125" s="967"/>
      <c r="W125" s="967"/>
      <c r="X125" s="968"/>
      <c r="Y125" s="968"/>
      <c r="Z125" s="968"/>
      <c r="AA125" s="968"/>
      <c r="AB125" s="967"/>
      <c r="AC125" s="967"/>
      <c r="AD125" s="967"/>
      <c r="AE125" s="967"/>
      <c r="AF125" s="967"/>
      <c r="AG125" s="967"/>
      <c r="AH125" s="967"/>
      <c r="AI125" s="967"/>
      <c r="AJ125" s="967"/>
      <c r="AK125" s="967"/>
      <c r="AL125" s="971"/>
      <c r="AM125" s="967"/>
      <c r="AN125" s="967"/>
      <c r="AO125" s="967"/>
    </row>
    <row r="126" spans="1:41" hidden="1">
      <c r="A126" s="403" t="str">
        <f t="shared" si="139"/>
        <v>1120502010103</v>
      </c>
      <c r="B126" s="1147" t="str">
        <f t="shared" ref="B126:U126" si="145">B152</f>
        <v>S.G.P Propósito General (Otros Sectores 49%)</v>
      </c>
      <c r="C126" s="403">
        <f t="shared" si="145"/>
        <v>0</v>
      </c>
      <c r="D126" s="403">
        <f t="shared" si="145"/>
        <v>0</v>
      </c>
      <c r="E126" s="403">
        <f t="shared" si="145"/>
        <v>0</v>
      </c>
      <c r="F126" s="403">
        <f t="shared" si="145"/>
        <v>0</v>
      </c>
      <c r="G126" s="403">
        <f t="shared" si="145"/>
        <v>0</v>
      </c>
      <c r="H126" s="403">
        <f t="shared" si="145"/>
        <v>0</v>
      </c>
      <c r="I126" s="403">
        <f t="shared" si="145"/>
        <v>0</v>
      </c>
      <c r="J126" s="403">
        <f t="shared" si="141"/>
        <v>0</v>
      </c>
      <c r="K126" s="403">
        <f t="shared" si="145"/>
        <v>0</v>
      </c>
      <c r="L126" s="403">
        <f t="shared" si="145"/>
        <v>0</v>
      </c>
      <c r="M126" s="403">
        <f t="shared" si="145"/>
        <v>0</v>
      </c>
      <c r="N126" s="403">
        <f t="shared" si="145"/>
        <v>0</v>
      </c>
      <c r="O126" s="403">
        <f t="shared" si="145"/>
        <v>0</v>
      </c>
      <c r="P126" s="403">
        <f t="shared" si="145"/>
        <v>0</v>
      </c>
      <c r="Q126" s="403"/>
      <c r="R126" s="403"/>
      <c r="S126" s="403"/>
      <c r="T126" s="403"/>
      <c r="U126" s="403">
        <f t="shared" si="145"/>
        <v>0</v>
      </c>
      <c r="V126" s="967"/>
      <c r="W126" s="967"/>
      <c r="X126" s="968"/>
      <c r="Y126" s="968"/>
      <c r="Z126" s="968"/>
      <c r="AA126" s="968"/>
      <c r="AB126" s="967"/>
      <c r="AC126" s="967"/>
      <c r="AD126" s="967"/>
      <c r="AE126" s="967"/>
      <c r="AF126" s="967"/>
      <c r="AG126" s="967"/>
      <c r="AH126" s="967"/>
      <c r="AI126" s="967"/>
      <c r="AJ126" s="967"/>
      <c r="AK126" s="967"/>
      <c r="AL126" s="971"/>
      <c r="AM126" s="967"/>
      <c r="AN126" s="967"/>
      <c r="AO126" s="967"/>
    </row>
    <row r="127" spans="1:41" hidden="1">
      <c r="A127" s="403" t="str">
        <f t="shared" si="139"/>
        <v>7A</v>
      </c>
      <c r="B127" s="1147" t="str">
        <f t="shared" ref="B127:U127" si="146">B153</f>
        <v>S.G.P Municipios Ribereños</v>
      </c>
      <c r="C127" s="403">
        <f t="shared" si="146"/>
        <v>0</v>
      </c>
      <c r="D127" s="403">
        <f t="shared" si="146"/>
        <v>0</v>
      </c>
      <c r="E127" s="403">
        <f t="shared" si="146"/>
        <v>0</v>
      </c>
      <c r="F127" s="403">
        <f t="shared" si="146"/>
        <v>0</v>
      </c>
      <c r="G127" s="403">
        <f t="shared" si="146"/>
        <v>0</v>
      </c>
      <c r="H127" s="403">
        <f t="shared" si="146"/>
        <v>0</v>
      </c>
      <c r="I127" s="403">
        <f t="shared" si="146"/>
        <v>0</v>
      </c>
      <c r="J127" s="403">
        <f t="shared" si="141"/>
        <v>0</v>
      </c>
      <c r="K127" s="403">
        <f t="shared" si="146"/>
        <v>0</v>
      </c>
      <c r="L127" s="403">
        <f t="shared" si="146"/>
        <v>0</v>
      </c>
      <c r="M127" s="403">
        <f t="shared" si="146"/>
        <v>0</v>
      </c>
      <c r="N127" s="403">
        <f t="shared" si="146"/>
        <v>0</v>
      </c>
      <c r="O127" s="403">
        <f t="shared" si="146"/>
        <v>0</v>
      </c>
      <c r="P127" s="403">
        <f t="shared" si="146"/>
        <v>0</v>
      </c>
      <c r="Q127" s="403"/>
      <c r="R127" s="403"/>
      <c r="S127" s="403"/>
      <c r="T127" s="403"/>
      <c r="U127" s="403">
        <f t="shared" si="146"/>
        <v>0</v>
      </c>
      <c r="V127" s="967"/>
      <c r="W127" s="967"/>
      <c r="X127" s="968"/>
      <c r="Y127" s="968"/>
      <c r="Z127" s="968"/>
      <c r="AA127" s="968"/>
      <c r="AB127" s="967"/>
      <c r="AC127" s="967"/>
      <c r="AD127" s="967"/>
      <c r="AE127" s="967"/>
      <c r="AF127" s="967"/>
      <c r="AG127" s="967"/>
      <c r="AH127" s="967"/>
      <c r="AI127" s="967"/>
      <c r="AJ127" s="967"/>
      <c r="AK127" s="967"/>
      <c r="AL127" s="971"/>
      <c r="AM127" s="967"/>
      <c r="AN127" s="967"/>
      <c r="AO127" s="967"/>
    </row>
    <row r="128" spans="1:41" hidden="1">
      <c r="A128" s="403" t="str">
        <f t="shared" si="139"/>
        <v>305A</v>
      </c>
      <c r="B128" s="1147" t="str">
        <f t="shared" ref="B128:U128" si="147">B154</f>
        <v>Rendimientos de Operaciones Financieras</v>
      </c>
      <c r="C128" s="403">
        <f t="shared" si="147"/>
        <v>0</v>
      </c>
      <c r="D128" s="403">
        <f t="shared" si="147"/>
        <v>0</v>
      </c>
      <c r="E128" s="403">
        <f t="shared" si="147"/>
        <v>0</v>
      </c>
      <c r="F128" s="403">
        <f t="shared" si="147"/>
        <v>0</v>
      </c>
      <c r="G128" s="403">
        <f t="shared" si="147"/>
        <v>0</v>
      </c>
      <c r="H128" s="403">
        <f t="shared" si="147"/>
        <v>0</v>
      </c>
      <c r="I128" s="403">
        <f t="shared" si="147"/>
        <v>0</v>
      </c>
      <c r="J128" s="403">
        <f t="shared" si="141"/>
        <v>0</v>
      </c>
      <c r="K128" s="403">
        <f t="shared" si="147"/>
        <v>0</v>
      </c>
      <c r="L128" s="403">
        <f t="shared" si="147"/>
        <v>0</v>
      </c>
      <c r="M128" s="403">
        <f t="shared" si="147"/>
        <v>0</v>
      </c>
      <c r="N128" s="403">
        <f t="shared" si="147"/>
        <v>0</v>
      </c>
      <c r="O128" s="403">
        <f t="shared" si="147"/>
        <v>0</v>
      </c>
      <c r="P128" s="403">
        <f t="shared" si="147"/>
        <v>0</v>
      </c>
      <c r="Q128" s="403"/>
      <c r="R128" s="403"/>
      <c r="S128" s="403"/>
      <c r="T128" s="403"/>
      <c r="U128" s="403">
        <f t="shared" si="147"/>
        <v>0</v>
      </c>
      <c r="V128" s="967"/>
      <c r="W128" s="967"/>
      <c r="X128" s="968"/>
      <c r="Y128" s="968"/>
      <c r="Z128" s="968"/>
      <c r="AA128" s="968"/>
      <c r="AB128" s="967"/>
      <c r="AC128" s="967"/>
      <c r="AD128" s="967"/>
      <c r="AE128" s="967"/>
      <c r="AF128" s="967"/>
      <c r="AG128" s="967"/>
      <c r="AH128" s="967"/>
      <c r="AI128" s="967"/>
      <c r="AJ128" s="967"/>
      <c r="AK128" s="967"/>
      <c r="AL128" s="971"/>
      <c r="AM128" s="967"/>
      <c r="AN128" s="967"/>
      <c r="AO128" s="967"/>
    </row>
    <row r="129" spans="1:41" hidden="1">
      <c r="A129" s="403" t="str">
        <f t="shared" si="139"/>
        <v>306A</v>
      </c>
      <c r="B129" s="1147" t="str">
        <f t="shared" ref="B129:U129" si="148">B155</f>
        <v>Fondo de Ahorro y Estabilización Petrolera -FAEP-</v>
      </c>
      <c r="C129" s="403">
        <f t="shared" si="148"/>
        <v>0</v>
      </c>
      <c r="D129" s="403">
        <f t="shared" si="148"/>
        <v>0</v>
      </c>
      <c r="E129" s="403">
        <f t="shared" si="148"/>
        <v>0</v>
      </c>
      <c r="F129" s="403">
        <f t="shared" si="148"/>
        <v>0</v>
      </c>
      <c r="G129" s="403">
        <f t="shared" si="148"/>
        <v>0</v>
      </c>
      <c r="H129" s="403">
        <f t="shared" si="148"/>
        <v>0</v>
      </c>
      <c r="I129" s="403">
        <f t="shared" si="148"/>
        <v>0</v>
      </c>
      <c r="J129" s="403">
        <f t="shared" si="141"/>
        <v>0</v>
      </c>
      <c r="K129" s="403">
        <f t="shared" si="148"/>
        <v>0</v>
      </c>
      <c r="L129" s="403">
        <f t="shared" si="148"/>
        <v>0</v>
      </c>
      <c r="M129" s="403">
        <f t="shared" si="148"/>
        <v>0</v>
      </c>
      <c r="N129" s="403">
        <f t="shared" si="148"/>
        <v>0</v>
      </c>
      <c r="O129" s="403">
        <f t="shared" si="148"/>
        <v>0</v>
      </c>
      <c r="P129" s="403">
        <f t="shared" si="148"/>
        <v>0</v>
      </c>
      <c r="Q129" s="403"/>
      <c r="R129" s="403"/>
      <c r="S129" s="403"/>
      <c r="T129" s="403"/>
      <c r="U129" s="403">
        <f t="shared" si="148"/>
        <v>0</v>
      </c>
      <c r="V129" s="967"/>
      <c r="W129" s="967"/>
      <c r="X129" s="968"/>
      <c r="Y129" s="968"/>
      <c r="Z129" s="968"/>
      <c r="AA129" s="968"/>
      <c r="AB129" s="967"/>
      <c r="AC129" s="967"/>
      <c r="AD129" s="967"/>
      <c r="AE129" s="967"/>
      <c r="AF129" s="967"/>
      <c r="AG129" s="967"/>
      <c r="AH129" s="967"/>
      <c r="AI129" s="967"/>
      <c r="AJ129" s="967"/>
      <c r="AK129" s="967"/>
      <c r="AL129" s="971"/>
      <c r="AM129" s="967"/>
      <c r="AN129" s="967"/>
      <c r="AO129" s="967"/>
    </row>
    <row r="130" spans="1:41" hidden="1">
      <c r="A130" s="403" t="str">
        <f t="shared" si="139"/>
        <v>122A</v>
      </c>
      <c r="B130" s="1147" t="str">
        <f t="shared" ref="B130:U130" si="149">B156</f>
        <v>FONDO DE CONTINGENCIAS</v>
      </c>
      <c r="C130" s="403">
        <f t="shared" si="149"/>
        <v>0</v>
      </c>
      <c r="D130" s="403">
        <f t="shared" si="149"/>
        <v>0</v>
      </c>
      <c r="E130" s="403">
        <f t="shared" si="149"/>
        <v>0</v>
      </c>
      <c r="F130" s="403">
        <f t="shared" si="149"/>
        <v>0</v>
      </c>
      <c r="G130" s="403">
        <f t="shared" si="149"/>
        <v>0</v>
      </c>
      <c r="H130" s="403">
        <f t="shared" si="149"/>
        <v>0</v>
      </c>
      <c r="I130" s="403">
        <f t="shared" si="149"/>
        <v>0</v>
      </c>
      <c r="J130" s="403">
        <f t="shared" si="141"/>
        <v>0</v>
      </c>
      <c r="K130" s="403">
        <f t="shared" si="149"/>
        <v>0</v>
      </c>
      <c r="L130" s="403">
        <f t="shared" si="149"/>
        <v>0</v>
      </c>
      <c r="M130" s="403">
        <f t="shared" si="149"/>
        <v>0</v>
      </c>
      <c r="N130" s="403">
        <f t="shared" si="149"/>
        <v>0</v>
      </c>
      <c r="O130" s="403">
        <f t="shared" si="149"/>
        <v>0</v>
      </c>
      <c r="P130" s="403">
        <f t="shared" si="149"/>
        <v>0</v>
      </c>
      <c r="Q130" s="403"/>
      <c r="R130" s="403"/>
      <c r="S130" s="403"/>
      <c r="T130" s="403"/>
      <c r="U130" s="403">
        <f t="shared" si="149"/>
        <v>0</v>
      </c>
      <c r="V130" s="967"/>
      <c r="W130" s="967"/>
      <c r="X130" s="968"/>
      <c r="Y130" s="968"/>
      <c r="Z130" s="968"/>
      <c r="AA130" s="968"/>
      <c r="AB130" s="967"/>
      <c r="AC130" s="967"/>
      <c r="AD130" s="967"/>
      <c r="AE130" s="967"/>
      <c r="AF130" s="967"/>
      <c r="AG130" s="967"/>
      <c r="AH130" s="967"/>
      <c r="AI130" s="967"/>
      <c r="AJ130" s="967"/>
      <c r="AK130" s="967"/>
      <c r="AL130" s="971"/>
      <c r="AM130" s="967"/>
      <c r="AN130" s="967"/>
      <c r="AO130" s="967"/>
    </row>
    <row r="131" spans="1:41" hidden="1">
      <c r="A131" s="403" t="str">
        <f t="shared" si="139"/>
        <v>209A</v>
      </c>
      <c r="B131" s="1147" t="str">
        <f t="shared" ref="B131:U131" si="150">B157</f>
        <v>Ingresos Corrientes de Libre Destinación</v>
      </c>
      <c r="C131" s="403">
        <f t="shared" si="150"/>
        <v>0</v>
      </c>
      <c r="D131" s="403">
        <f t="shared" si="150"/>
        <v>0</v>
      </c>
      <c r="E131" s="403">
        <f t="shared" si="150"/>
        <v>0</v>
      </c>
      <c r="F131" s="403">
        <f t="shared" si="150"/>
        <v>0</v>
      </c>
      <c r="G131" s="403">
        <f t="shared" si="150"/>
        <v>0</v>
      </c>
      <c r="H131" s="403">
        <f t="shared" si="150"/>
        <v>0</v>
      </c>
      <c r="I131" s="403">
        <f t="shared" si="150"/>
        <v>0</v>
      </c>
      <c r="J131" s="403">
        <f t="shared" si="141"/>
        <v>0</v>
      </c>
      <c r="K131" s="403">
        <f t="shared" si="150"/>
        <v>0</v>
      </c>
      <c r="L131" s="403">
        <f t="shared" si="150"/>
        <v>0</v>
      </c>
      <c r="M131" s="403">
        <f t="shared" si="150"/>
        <v>0</v>
      </c>
      <c r="N131" s="403">
        <f t="shared" si="150"/>
        <v>0</v>
      </c>
      <c r="O131" s="403">
        <f t="shared" si="150"/>
        <v>0</v>
      </c>
      <c r="P131" s="403">
        <f t="shared" si="150"/>
        <v>0</v>
      </c>
      <c r="Q131" s="403"/>
      <c r="R131" s="403"/>
      <c r="S131" s="403"/>
      <c r="T131" s="403"/>
      <c r="U131" s="403">
        <f t="shared" si="150"/>
        <v>0</v>
      </c>
      <c r="V131" s="967"/>
      <c r="W131" s="967"/>
      <c r="X131" s="968"/>
      <c r="Y131" s="968"/>
      <c r="Z131" s="968"/>
      <c r="AA131" s="968"/>
      <c r="AB131" s="967"/>
      <c r="AC131" s="967"/>
      <c r="AD131" s="967"/>
      <c r="AE131" s="967"/>
      <c r="AF131" s="967"/>
      <c r="AG131" s="967"/>
      <c r="AH131" s="967"/>
      <c r="AI131" s="967"/>
      <c r="AJ131" s="967"/>
      <c r="AK131" s="967"/>
      <c r="AL131" s="971"/>
      <c r="AM131" s="967"/>
      <c r="AN131" s="967"/>
      <c r="AO131" s="967"/>
    </row>
    <row r="132" spans="1:41" hidden="1">
      <c r="A132" s="403" t="str">
        <f t="shared" si="139"/>
        <v>111</v>
      </c>
      <c r="B132" s="1147" t="str">
        <f t="shared" ref="B132:U132" si="151">B158</f>
        <v xml:space="preserve">  Ingresos Tributarios</v>
      </c>
      <c r="C132" s="403">
        <f t="shared" si="151"/>
        <v>0</v>
      </c>
      <c r="D132" s="403">
        <f t="shared" si="151"/>
        <v>0</v>
      </c>
      <c r="E132" s="403">
        <f t="shared" si="151"/>
        <v>0</v>
      </c>
      <c r="F132" s="403">
        <f t="shared" si="151"/>
        <v>0</v>
      </c>
      <c r="G132" s="403">
        <f t="shared" si="151"/>
        <v>0</v>
      </c>
      <c r="H132" s="403">
        <f t="shared" si="151"/>
        <v>0</v>
      </c>
      <c r="I132" s="403">
        <f t="shared" si="151"/>
        <v>0</v>
      </c>
      <c r="J132" s="403">
        <f t="shared" si="141"/>
        <v>0</v>
      </c>
      <c r="K132" s="403">
        <f t="shared" si="151"/>
        <v>0</v>
      </c>
      <c r="L132" s="403">
        <f t="shared" si="151"/>
        <v>0</v>
      </c>
      <c r="M132" s="403">
        <f t="shared" si="151"/>
        <v>0</v>
      </c>
      <c r="N132" s="403">
        <f t="shared" si="151"/>
        <v>0</v>
      </c>
      <c r="O132" s="403">
        <f t="shared" si="151"/>
        <v>0</v>
      </c>
      <c r="P132" s="403">
        <f t="shared" si="151"/>
        <v>0</v>
      </c>
      <c r="Q132" s="403"/>
      <c r="R132" s="403"/>
      <c r="S132" s="403"/>
      <c r="T132" s="403"/>
      <c r="U132" s="403">
        <f t="shared" si="151"/>
        <v>0</v>
      </c>
      <c r="V132" s="967"/>
      <c r="W132" s="967"/>
      <c r="X132" s="968"/>
      <c r="Y132" s="968"/>
      <c r="Z132" s="968"/>
      <c r="AA132" s="968"/>
      <c r="AB132" s="967"/>
      <c r="AC132" s="967"/>
      <c r="AD132" s="967"/>
      <c r="AE132" s="967"/>
      <c r="AF132" s="967"/>
      <c r="AG132" s="967"/>
      <c r="AH132" s="967"/>
      <c r="AI132" s="967"/>
      <c r="AJ132" s="967"/>
      <c r="AK132" s="967"/>
      <c r="AL132" s="971"/>
      <c r="AM132" s="967"/>
      <c r="AN132" s="967"/>
      <c r="AO132" s="967"/>
    </row>
    <row r="133" spans="1:41" ht="18.75" hidden="1">
      <c r="A133" s="403" t="str">
        <f t="shared" si="139"/>
        <v>1110103</v>
      </c>
      <c r="B133" s="1147" t="str">
        <f t="shared" ref="B133:U133" si="152">B159</f>
        <v xml:space="preserve">    Impuesto Predial Unificado (Incluye Compensación por predial Resguardos Indigenas)</v>
      </c>
      <c r="C133" s="403">
        <f t="shared" si="152"/>
        <v>0</v>
      </c>
      <c r="D133" s="403">
        <f t="shared" si="152"/>
        <v>0</v>
      </c>
      <c r="E133" s="403">
        <f t="shared" si="152"/>
        <v>0</v>
      </c>
      <c r="F133" s="403">
        <f t="shared" si="152"/>
        <v>0</v>
      </c>
      <c r="G133" s="403">
        <f t="shared" si="152"/>
        <v>0</v>
      </c>
      <c r="H133" s="403">
        <f t="shared" si="152"/>
        <v>0</v>
      </c>
      <c r="I133" s="403">
        <f t="shared" si="152"/>
        <v>0</v>
      </c>
      <c r="J133" s="403">
        <f t="shared" si="141"/>
        <v>0</v>
      </c>
      <c r="K133" s="403">
        <f t="shared" si="152"/>
        <v>0</v>
      </c>
      <c r="L133" s="403">
        <f t="shared" si="152"/>
        <v>0</v>
      </c>
      <c r="M133" s="403">
        <f t="shared" si="152"/>
        <v>0</v>
      </c>
      <c r="N133" s="403">
        <f t="shared" si="152"/>
        <v>0</v>
      </c>
      <c r="O133" s="403">
        <f t="shared" si="152"/>
        <v>0</v>
      </c>
      <c r="P133" s="403">
        <f t="shared" si="152"/>
        <v>0</v>
      </c>
      <c r="Q133" s="403"/>
      <c r="R133" s="403"/>
      <c r="S133" s="403"/>
      <c r="T133" s="403"/>
      <c r="U133" s="403">
        <f t="shared" si="152"/>
        <v>0</v>
      </c>
      <c r="V133" s="967"/>
      <c r="W133" s="967"/>
      <c r="X133" s="968"/>
      <c r="Y133" s="968"/>
      <c r="Z133" s="968"/>
      <c r="AA133" s="968"/>
      <c r="AB133" s="967"/>
      <c r="AC133" s="967"/>
      <c r="AD133" s="967"/>
      <c r="AE133" s="967"/>
      <c r="AF133" s="967"/>
      <c r="AG133" s="967"/>
      <c r="AH133" s="967"/>
      <c r="AI133" s="967"/>
      <c r="AJ133" s="967"/>
      <c r="AK133" s="967"/>
      <c r="AL133" s="971"/>
      <c r="AM133" s="967"/>
      <c r="AN133" s="967"/>
      <c r="AO133" s="967"/>
    </row>
    <row r="134" spans="1:41" ht="18.75" hidden="1">
      <c r="A134" s="403" t="str">
        <f t="shared" si="139"/>
        <v>1110101</v>
      </c>
      <c r="B134" s="1147" t="str">
        <f t="shared" ref="B134:U134" si="153">B160</f>
        <v xml:space="preserve">    Impuesto de Circulación y Tránsito Servicio Público</v>
      </c>
      <c r="C134" s="403">
        <f t="shared" si="153"/>
        <v>0</v>
      </c>
      <c r="D134" s="403">
        <f t="shared" si="153"/>
        <v>0</v>
      </c>
      <c r="E134" s="403">
        <f t="shared" si="153"/>
        <v>0</v>
      </c>
      <c r="F134" s="403">
        <f t="shared" si="153"/>
        <v>0</v>
      </c>
      <c r="G134" s="403">
        <f t="shared" si="153"/>
        <v>0</v>
      </c>
      <c r="H134" s="403">
        <f t="shared" si="153"/>
        <v>0</v>
      </c>
      <c r="I134" s="403">
        <f t="shared" si="153"/>
        <v>0</v>
      </c>
      <c r="J134" s="403">
        <f t="shared" si="141"/>
        <v>0</v>
      </c>
      <c r="K134" s="403">
        <f t="shared" si="153"/>
        <v>0</v>
      </c>
      <c r="L134" s="403">
        <f t="shared" si="153"/>
        <v>0</v>
      </c>
      <c r="M134" s="403">
        <f t="shared" si="153"/>
        <v>0</v>
      </c>
      <c r="N134" s="403">
        <f t="shared" si="153"/>
        <v>0</v>
      </c>
      <c r="O134" s="403">
        <f t="shared" si="153"/>
        <v>0</v>
      </c>
      <c r="P134" s="403">
        <f t="shared" si="153"/>
        <v>0</v>
      </c>
      <c r="Q134" s="403"/>
      <c r="R134" s="403"/>
      <c r="S134" s="403"/>
      <c r="T134" s="403"/>
      <c r="U134" s="403">
        <f t="shared" si="153"/>
        <v>0</v>
      </c>
      <c r="V134" s="967"/>
      <c r="W134" s="967"/>
      <c r="X134" s="968"/>
      <c r="Y134" s="968"/>
      <c r="Z134" s="968"/>
      <c r="AA134" s="968"/>
      <c r="AB134" s="967"/>
      <c r="AC134" s="967"/>
      <c r="AD134" s="967"/>
      <c r="AE134" s="967"/>
      <c r="AF134" s="967"/>
      <c r="AG134" s="967"/>
      <c r="AH134" s="967"/>
      <c r="AI134" s="967"/>
      <c r="AJ134" s="967"/>
      <c r="AK134" s="967"/>
      <c r="AL134" s="971"/>
      <c r="AM134" s="967"/>
      <c r="AN134" s="967"/>
      <c r="AO134" s="967"/>
    </row>
    <row r="135" spans="1:41" hidden="1">
      <c r="A135" s="403" t="str">
        <f t="shared" si="139"/>
        <v>1110205</v>
      </c>
      <c r="B135" s="1147" t="str">
        <f t="shared" ref="B135:U135" si="154">B161</f>
        <v xml:space="preserve">    Impuesto de Industria y Comercio</v>
      </c>
      <c r="C135" s="403">
        <f t="shared" si="154"/>
        <v>0</v>
      </c>
      <c r="D135" s="403">
        <f t="shared" si="154"/>
        <v>0</v>
      </c>
      <c r="E135" s="403">
        <f t="shared" si="154"/>
        <v>0</v>
      </c>
      <c r="F135" s="403">
        <f t="shared" si="154"/>
        <v>0</v>
      </c>
      <c r="G135" s="403">
        <f t="shared" si="154"/>
        <v>0</v>
      </c>
      <c r="H135" s="403">
        <f t="shared" si="154"/>
        <v>0</v>
      </c>
      <c r="I135" s="403">
        <f t="shared" si="154"/>
        <v>0</v>
      </c>
      <c r="J135" s="403">
        <f t="shared" si="141"/>
        <v>0</v>
      </c>
      <c r="K135" s="403">
        <f t="shared" si="154"/>
        <v>0</v>
      </c>
      <c r="L135" s="403">
        <f t="shared" si="154"/>
        <v>0</v>
      </c>
      <c r="M135" s="403">
        <f t="shared" si="154"/>
        <v>0</v>
      </c>
      <c r="N135" s="403">
        <f t="shared" si="154"/>
        <v>0</v>
      </c>
      <c r="O135" s="403">
        <f t="shared" si="154"/>
        <v>0</v>
      </c>
      <c r="P135" s="403">
        <f t="shared" si="154"/>
        <v>0</v>
      </c>
      <c r="Q135" s="403"/>
      <c r="R135" s="403"/>
      <c r="S135" s="403"/>
      <c r="T135" s="403"/>
      <c r="U135" s="403">
        <f t="shared" si="154"/>
        <v>0</v>
      </c>
      <c r="V135" s="967"/>
      <c r="W135" s="967"/>
      <c r="X135" s="968"/>
      <c r="Y135" s="968"/>
      <c r="Z135" s="968"/>
      <c r="AA135" s="968"/>
      <c r="AB135" s="967"/>
      <c r="AC135" s="967"/>
      <c r="AD135" s="967"/>
      <c r="AE135" s="967"/>
      <c r="AF135" s="967"/>
      <c r="AG135" s="967"/>
      <c r="AH135" s="967"/>
      <c r="AI135" s="967"/>
      <c r="AJ135" s="967"/>
      <c r="AK135" s="967"/>
      <c r="AL135" s="971"/>
      <c r="AM135" s="967"/>
      <c r="AN135" s="967"/>
      <c r="AO135" s="967"/>
    </row>
    <row r="136" spans="1:41" hidden="1">
      <c r="A136" s="403" t="str">
        <f t="shared" si="139"/>
        <v>1110216</v>
      </c>
      <c r="B136" s="1147" t="str">
        <f t="shared" ref="B136:U136" si="155">B162</f>
        <v xml:space="preserve">    Sobretasa a la Gasolina</v>
      </c>
      <c r="C136" s="403">
        <f t="shared" si="155"/>
        <v>0</v>
      </c>
      <c r="D136" s="403">
        <f t="shared" si="155"/>
        <v>0</v>
      </c>
      <c r="E136" s="403">
        <f t="shared" si="155"/>
        <v>0</v>
      </c>
      <c r="F136" s="403">
        <f t="shared" si="155"/>
        <v>0</v>
      </c>
      <c r="G136" s="403">
        <f t="shared" si="155"/>
        <v>0</v>
      </c>
      <c r="H136" s="403">
        <f t="shared" si="155"/>
        <v>0</v>
      </c>
      <c r="I136" s="403">
        <f t="shared" si="155"/>
        <v>0</v>
      </c>
      <c r="J136" s="403">
        <f t="shared" si="141"/>
        <v>0</v>
      </c>
      <c r="K136" s="403">
        <f t="shared" si="155"/>
        <v>0</v>
      </c>
      <c r="L136" s="403">
        <f t="shared" si="155"/>
        <v>0</v>
      </c>
      <c r="M136" s="403">
        <f t="shared" si="155"/>
        <v>0</v>
      </c>
      <c r="N136" s="403">
        <f t="shared" si="155"/>
        <v>0</v>
      </c>
      <c r="O136" s="403">
        <f t="shared" si="155"/>
        <v>0</v>
      </c>
      <c r="P136" s="403">
        <f t="shared" si="155"/>
        <v>0</v>
      </c>
      <c r="Q136" s="403"/>
      <c r="R136" s="403"/>
      <c r="S136" s="403"/>
      <c r="T136" s="403"/>
      <c r="U136" s="403">
        <f t="shared" si="155"/>
        <v>0</v>
      </c>
      <c r="V136" s="967"/>
      <c r="W136" s="967"/>
      <c r="X136" s="968"/>
      <c r="Y136" s="968"/>
      <c r="Z136" s="968"/>
      <c r="AA136" s="968"/>
      <c r="AB136" s="967"/>
      <c r="AC136" s="967"/>
      <c r="AD136" s="967"/>
      <c r="AE136" s="967"/>
      <c r="AF136" s="967"/>
      <c r="AG136" s="967"/>
      <c r="AH136" s="967"/>
      <c r="AI136" s="967"/>
      <c r="AJ136" s="967"/>
      <c r="AK136" s="967"/>
      <c r="AL136" s="971"/>
      <c r="AM136" s="967"/>
      <c r="AN136" s="967"/>
      <c r="AO136" s="967"/>
    </row>
    <row r="137" spans="1:41" hidden="1">
      <c r="A137" s="403" t="str">
        <f t="shared" si="139"/>
        <v>11205020810</v>
      </c>
      <c r="B137" s="1147" t="str">
        <f t="shared" ref="B137:U137" si="156">B163</f>
        <v xml:space="preserve">    Impuesto al Transporte de Hidrocarburos</v>
      </c>
      <c r="C137" s="403">
        <f t="shared" si="156"/>
        <v>0</v>
      </c>
      <c r="D137" s="403">
        <f t="shared" si="156"/>
        <v>0</v>
      </c>
      <c r="E137" s="403">
        <f t="shared" si="156"/>
        <v>0</v>
      </c>
      <c r="F137" s="403">
        <f t="shared" si="156"/>
        <v>0</v>
      </c>
      <c r="G137" s="403">
        <f t="shared" si="156"/>
        <v>0</v>
      </c>
      <c r="H137" s="403">
        <f t="shared" si="156"/>
        <v>0</v>
      </c>
      <c r="I137" s="403">
        <f t="shared" si="156"/>
        <v>0</v>
      </c>
      <c r="J137" s="403">
        <f t="shared" si="141"/>
        <v>0</v>
      </c>
      <c r="K137" s="403">
        <f t="shared" si="156"/>
        <v>0</v>
      </c>
      <c r="L137" s="403">
        <f t="shared" si="156"/>
        <v>0</v>
      </c>
      <c r="M137" s="403">
        <f t="shared" si="156"/>
        <v>0</v>
      </c>
      <c r="N137" s="403">
        <f t="shared" si="156"/>
        <v>0</v>
      </c>
      <c r="O137" s="403">
        <f t="shared" si="156"/>
        <v>0</v>
      </c>
      <c r="P137" s="403">
        <f t="shared" si="156"/>
        <v>0</v>
      </c>
      <c r="Q137" s="403"/>
      <c r="R137" s="403"/>
      <c r="S137" s="403"/>
      <c r="T137" s="403"/>
      <c r="U137" s="403">
        <f t="shared" si="156"/>
        <v>0</v>
      </c>
      <c r="V137" s="967"/>
      <c r="W137" s="967"/>
      <c r="X137" s="968"/>
      <c r="Y137" s="968"/>
      <c r="Z137" s="968"/>
      <c r="AA137" s="968"/>
      <c r="AB137" s="967"/>
      <c r="AC137" s="967"/>
      <c r="AD137" s="967"/>
      <c r="AE137" s="967"/>
      <c r="AF137" s="967"/>
      <c r="AG137" s="967"/>
      <c r="AH137" s="967"/>
      <c r="AI137" s="967"/>
      <c r="AJ137" s="967"/>
      <c r="AK137" s="967"/>
      <c r="AL137" s="971"/>
      <c r="AM137" s="967"/>
      <c r="AN137" s="967"/>
      <c r="AO137" s="967"/>
    </row>
    <row r="138" spans="1:41" hidden="1">
      <c r="A138" s="403" t="str">
        <f t="shared" si="139"/>
        <v>308A</v>
      </c>
      <c r="B138" s="1147" t="str">
        <f t="shared" ref="B138:U138" si="157">B164</f>
        <v xml:space="preserve">    Otros Ingresos Tributarios</v>
      </c>
      <c r="C138" s="403">
        <f t="shared" si="157"/>
        <v>0</v>
      </c>
      <c r="D138" s="403">
        <f t="shared" si="157"/>
        <v>0</v>
      </c>
      <c r="E138" s="403">
        <f t="shared" si="157"/>
        <v>0</v>
      </c>
      <c r="F138" s="403">
        <f t="shared" si="157"/>
        <v>0</v>
      </c>
      <c r="G138" s="403">
        <f t="shared" si="157"/>
        <v>0</v>
      </c>
      <c r="H138" s="403">
        <f t="shared" si="157"/>
        <v>0</v>
      </c>
      <c r="I138" s="403">
        <f t="shared" si="157"/>
        <v>0</v>
      </c>
      <c r="J138" s="403">
        <f t="shared" si="141"/>
        <v>0</v>
      </c>
      <c r="K138" s="403">
        <f t="shared" si="157"/>
        <v>0</v>
      </c>
      <c r="L138" s="403">
        <f t="shared" si="157"/>
        <v>0</v>
      </c>
      <c r="M138" s="403">
        <f t="shared" si="157"/>
        <v>0</v>
      </c>
      <c r="N138" s="403">
        <f t="shared" si="157"/>
        <v>0</v>
      </c>
      <c r="O138" s="403">
        <f t="shared" si="157"/>
        <v>0</v>
      </c>
      <c r="P138" s="403">
        <f t="shared" si="157"/>
        <v>0</v>
      </c>
      <c r="Q138" s="403"/>
      <c r="R138" s="403"/>
      <c r="S138" s="403"/>
      <c r="T138" s="403"/>
      <c r="U138" s="403">
        <f t="shared" si="157"/>
        <v>0</v>
      </c>
      <c r="V138" s="967"/>
      <c r="W138" s="967"/>
      <c r="X138" s="968"/>
      <c r="Y138" s="968"/>
      <c r="Z138" s="968"/>
      <c r="AA138" s="968"/>
      <c r="AB138" s="967"/>
      <c r="AC138" s="967"/>
      <c r="AD138" s="967"/>
      <c r="AE138" s="967"/>
      <c r="AF138" s="967"/>
      <c r="AG138" s="967"/>
      <c r="AH138" s="967"/>
      <c r="AI138" s="967"/>
      <c r="AJ138" s="967"/>
      <c r="AK138" s="967"/>
      <c r="AL138" s="971"/>
      <c r="AM138" s="967"/>
      <c r="AN138" s="967"/>
      <c r="AO138" s="967"/>
    </row>
    <row r="139" spans="1:41" ht="18.75" hidden="1">
      <c r="A139" s="403" t="str">
        <f t="shared" si="139"/>
        <v>123A</v>
      </c>
      <c r="B139" s="1147" t="str">
        <f t="shared" ref="B139:U139" si="158">B165</f>
        <v xml:space="preserve">    Ahorro  de ICLD disponible para otros gastos (D)</v>
      </c>
      <c r="C139" s="403">
        <f t="shared" si="158"/>
        <v>0</v>
      </c>
      <c r="D139" s="403">
        <f t="shared" si="158"/>
        <v>0</v>
      </c>
      <c r="E139" s="403">
        <f t="shared" si="158"/>
        <v>0</v>
      </c>
      <c r="F139" s="403">
        <f t="shared" si="158"/>
        <v>0</v>
      </c>
      <c r="G139" s="403">
        <f t="shared" si="158"/>
        <v>0</v>
      </c>
      <c r="H139" s="403">
        <f t="shared" si="158"/>
        <v>0</v>
      </c>
      <c r="I139" s="403">
        <f t="shared" si="158"/>
        <v>0</v>
      </c>
      <c r="J139" s="403">
        <f t="shared" si="141"/>
        <v>0</v>
      </c>
      <c r="K139" s="403">
        <f t="shared" si="158"/>
        <v>0</v>
      </c>
      <c r="L139" s="403">
        <f t="shared" si="158"/>
        <v>0</v>
      </c>
      <c r="M139" s="403">
        <f t="shared" si="158"/>
        <v>0</v>
      </c>
      <c r="N139" s="403">
        <f t="shared" si="158"/>
        <v>0</v>
      </c>
      <c r="O139" s="403">
        <f t="shared" si="158"/>
        <v>0</v>
      </c>
      <c r="P139" s="403">
        <f t="shared" si="158"/>
        <v>0</v>
      </c>
      <c r="Q139" s="403"/>
      <c r="R139" s="403"/>
      <c r="S139" s="403"/>
      <c r="T139" s="403"/>
      <c r="U139" s="403">
        <f t="shared" si="158"/>
        <v>0</v>
      </c>
      <c r="V139" s="967"/>
      <c r="W139" s="967"/>
      <c r="X139" s="968"/>
      <c r="Y139" s="968"/>
      <c r="Z139" s="968"/>
      <c r="AA139" s="968"/>
      <c r="AB139" s="967"/>
      <c r="AC139" s="967"/>
      <c r="AD139" s="967"/>
      <c r="AE139" s="967"/>
      <c r="AF139" s="967"/>
      <c r="AG139" s="967"/>
      <c r="AH139" s="967"/>
      <c r="AI139" s="967"/>
      <c r="AJ139" s="967"/>
      <c r="AK139" s="967"/>
      <c r="AL139" s="971"/>
      <c r="AM139" s="967"/>
      <c r="AN139" s="967"/>
      <c r="AO139" s="967"/>
    </row>
    <row r="140" spans="1:41" hidden="1">
      <c r="A140" s="403" t="str">
        <f t="shared" si="139"/>
        <v>124A</v>
      </c>
      <c r="B140" s="1147" t="str">
        <f t="shared" ref="B140:U140" si="159">B166</f>
        <v xml:space="preserve">    Rentas  Reorientadas </v>
      </c>
      <c r="C140" s="403">
        <f t="shared" si="159"/>
        <v>0</v>
      </c>
      <c r="D140" s="403">
        <f t="shared" si="159"/>
        <v>0</v>
      </c>
      <c r="E140" s="403">
        <f t="shared" si="159"/>
        <v>0</v>
      </c>
      <c r="F140" s="403">
        <f t="shared" si="159"/>
        <v>0</v>
      </c>
      <c r="G140" s="403">
        <f t="shared" si="159"/>
        <v>0</v>
      </c>
      <c r="H140" s="403">
        <f t="shared" si="159"/>
        <v>0</v>
      </c>
      <c r="I140" s="403">
        <f t="shared" si="159"/>
        <v>0</v>
      </c>
      <c r="J140" s="403">
        <f t="shared" si="141"/>
        <v>0</v>
      </c>
      <c r="K140" s="403">
        <f t="shared" si="159"/>
        <v>0</v>
      </c>
      <c r="L140" s="403">
        <f t="shared" si="159"/>
        <v>0</v>
      </c>
      <c r="M140" s="403">
        <f t="shared" si="159"/>
        <v>0</v>
      </c>
      <c r="N140" s="403">
        <f t="shared" si="159"/>
        <v>0</v>
      </c>
      <c r="O140" s="403">
        <f t="shared" si="159"/>
        <v>0</v>
      </c>
      <c r="P140" s="403">
        <f t="shared" si="159"/>
        <v>0</v>
      </c>
      <c r="Q140" s="403"/>
      <c r="R140" s="403"/>
      <c r="S140" s="403"/>
      <c r="T140" s="403"/>
      <c r="U140" s="403">
        <f t="shared" si="159"/>
        <v>0</v>
      </c>
      <c r="V140" s="967"/>
      <c r="W140" s="967"/>
      <c r="X140" s="968"/>
      <c r="Y140" s="968"/>
      <c r="Z140" s="968"/>
      <c r="AA140" s="968"/>
      <c r="AB140" s="967"/>
      <c r="AC140" s="967"/>
      <c r="AD140" s="967"/>
      <c r="AE140" s="967"/>
      <c r="AF140" s="967"/>
      <c r="AG140" s="967"/>
      <c r="AH140" s="967"/>
      <c r="AI140" s="967"/>
      <c r="AJ140" s="967"/>
      <c r="AK140" s="967"/>
      <c r="AL140" s="971"/>
      <c r="AM140" s="967"/>
      <c r="AN140" s="967"/>
      <c r="AO140" s="967"/>
    </row>
    <row r="141" spans="1:41" ht="7.5" hidden="1" customHeight="1">
      <c r="A141" s="9"/>
      <c r="B141" s="1143"/>
      <c r="C141" s="1"/>
      <c r="D141" s="1"/>
      <c r="E141" s="1"/>
      <c r="F141" s="1"/>
      <c r="G141" s="1"/>
      <c r="H141" s="9"/>
      <c r="I141" s="1"/>
      <c r="J141" s="1"/>
      <c r="K141" s="1"/>
      <c r="L141" s="1"/>
      <c r="M141" s="1"/>
      <c r="N141" s="1"/>
      <c r="O141" s="1"/>
      <c r="P141" s="1"/>
      <c r="Q141" s="1"/>
      <c r="R141" s="1"/>
      <c r="S141" s="1"/>
      <c r="T141" s="1"/>
      <c r="U141" s="1"/>
    </row>
    <row r="142" spans="1:41" ht="7.5" hidden="1" customHeight="1" thickBot="1">
      <c r="A142" s="9"/>
      <c r="B142" s="1143"/>
      <c r="C142" s="1"/>
      <c r="D142" s="1"/>
      <c r="E142" s="1"/>
      <c r="F142" s="1"/>
      <c r="G142" s="1"/>
      <c r="H142" s="9"/>
      <c r="I142" s="1"/>
      <c r="J142" s="1"/>
      <c r="K142" s="1"/>
      <c r="L142" s="1"/>
      <c r="M142" s="1"/>
      <c r="N142" s="1"/>
      <c r="O142" s="1"/>
      <c r="P142" s="1"/>
      <c r="Q142" s="1"/>
      <c r="R142" s="1"/>
      <c r="S142" s="1"/>
      <c r="T142" s="1"/>
      <c r="U142" s="1"/>
    </row>
    <row r="143" spans="1:41" ht="13.5" hidden="1" thickBot="1">
      <c r="A143" s="291" t="s">
        <v>563</v>
      </c>
      <c r="B143" s="1148"/>
      <c r="C143" s="292"/>
      <c r="D143" s="1"/>
      <c r="E143" s="1"/>
      <c r="F143" s="1"/>
      <c r="G143" s="13"/>
      <c r="H143" s="9"/>
      <c r="I143" s="1"/>
      <c r="J143" s="1"/>
      <c r="K143" s="1"/>
      <c r="L143" s="1"/>
      <c r="M143" s="1"/>
      <c r="N143" s="1"/>
      <c r="O143" s="1"/>
      <c r="P143" s="1"/>
      <c r="Q143" s="1"/>
      <c r="R143" s="1"/>
      <c r="S143" s="1"/>
      <c r="T143" s="1"/>
      <c r="U143" s="1"/>
    </row>
    <row r="144" spans="1:41" ht="9" hidden="1" customHeight="1" thickBot="1">
      <c r="A144" s="10"/>
      <c r="B144" s="1143"/>
      <c r="C144" s="1"/>
      <c r="D144" s="1"/>
      <c r="E144" s="1"/>
      <c r="F144" s="1"/>
      <c r="G144" s="1"/>
      <c r="H144" s="9"/>
      <c r="I144" s="1"/>
      <c r="J144" s="1"/>
      <c r="K144" s="1"/>
      <c r="L144" s="1"/>
      <c r="M144" s="1"/>
      <c r="N144" s="1"/>
      <c r="O144" s="1"/>
      <c r="P144" s="1"/>
      <c r="Q144" s="1"/>
      <c r="R144" s="1"/>
      <c r="S144" s="1"/>
      <c r="T144" s="1"/>
      <c r="U144" s="1"/>
    </row>
    <row r="145" spans="1:38" ht="38.25" hidden="1">
      <c r="A145" s="278" t="s">
        <v>796</v>
      </c>
      <c r="B145" s="280" t="s">
        <v>797</v>
      </c>
      <c r="C145" s="274" t="str">
        <f>+C9</f>
        <v>Escenario Financiero Año 2002</v>
      </c>
      <c r="D145" s="274" t="str">
        <f t="shared" ref="D145:P145" si="160">+D9</f>
        <v>Escenario Financiero Año 2003</v>
      </c>
      <c r="E145" s="274" t="str">
        <f t="shared" si="160"/>
        <v>Escenario Financiero Año 2004</v>
      </c>
      <c r="F145" s="274" t="str">
        <f t="shared" si="160"/>
        <v>Escenario Financiero Año 2005</v>
      </c>
      <c r="G145" s="274" t="str">
        <f t="shared" si="160"/>
        <v>Escenario Financiero Año 2006</v>
      </c>
      <c r="H145" s="274" t="str">
        <f t="shared" si="160"/>
        <v>Escenario Financiero Año 2007</v>
      </c>
      <c r="I145" s="274" t="str">
        <f t="shared" si="160"/>
        <v>Escenario Financiero Año 2008</v>
      </c>
      <c r="J145" s="274" t="str">
        <f>+J9</f>
        <v>Escenario Financiero Año 2009</v>
      </c>
      <c r="K145" s="274" t="str">
        <f t="shared" si="160"/>
        <v>Escenario Financiero Año 2010</v>
      </c>
      <c r="L145" s="274" t="str">
        <f t="shared" si="160"/>
        <v>Escenario Financiero Año 2011</v>
      </c>
      <c r="M145" s="274" t="str">
        <f t="shared" si="160"/>
        <v>Escenario Financiero Año 2012</v>
      </c>
      <c r="N145" s="274" t="str">
        <f t="shared" si="160"/>
        <v>Escenario Financiero Año 2013</v>
      </c>
      <c r="O145" s="274" t="str">
        <f t="shared" si="160"/>
        <v>Escenario Financiero Año 2014</v>
      </c>
      <c r="P145" s="274" t="str">
        <f t="shared" si="160"/>
        <v>Escenario Financiero Año 2015</v>
      </c>
      <c r="Q145" s="358"/>
      <c r="R145" s="358"/>
      <c r="S145" s="358"/>
      <c r="T145" s="358"/>
    </row>
    <row r="146" spans="1:38" ht="1.5" hidden="1" customHeight="1" thickBot="1">
      <c r="A146" s="279"/>
      <c r="B146" s="281"/>
      <c r="C146" s="275"/>
      <c r="D146" s="275"/>
      <c r="E146" s="275"/>
      <c r="F146" s="275"/>
      <c r="G146" s="275"/>
      <c r="H146" s="275"/>
      <c r="I146" s="275"/>
      <c r="J146" s="275"/>
      <c r="K146" s="275"/>
      <c r="L146" s="275"/>
      <c r="M146" s="275"/>
      <c r="N146" s="275"/>
      <c r="O146" s="275"/>
      <c r="P146" s="275"/>
      <c r="Q146" s="358"/>
      <c r="R146" s="358"/>
      <c r="S146" s="358"/>
      <c r="T146" s="358"/>
    </row>
    <row r="147" spans="1:38" ht="16.5" hidden="1" customHeight="1" thickBot="1">
      <c r="A147" s="354"/>
      <c r="B147" s="1149" t="s">
        <v>564</v>
      </c>
      <c r="C147" s="283"/>
      <c r="D147" s="358"/>
      <c r="E147" s="283"/>
      <c r="F147" s="358"/>
      <c r="G147" s="283"/>
      <c r="H147" s="358"/>
      <c r="I147" s="283"/>
      <c r="J147" s="283"/>
      <c r="K147" s="283"/>
      <c r="L147" s="358"/>
      <c r="M147" s="283"/>
      <c r="N147" s="358"/>
      <c r="O147" s="283"/>
      <c r="P147" s="358"/>
      <c r="Q147" s="358"/>
      <c r="R147" s="358"/>
      <c r="S147" s="358"/>
      <c r="T147" s="358"/>
    </row>
    <row r="148" spans="1:38" hidden="1">
      <c r="A148" s="83" t="str">
        <f>+A18</f>
        <v>1110216</v>
      </c>
      <c r="B148" s="1150" t="s">
        <v>565</v>
      </c>
      <c r="C148" s="826">
        <v>0</v>
      </c>
      <c r="D148" s="219">
        <v>0</v>
      </c>
      <c r="E148" s="218">
        <v>0</v>
      </c>
      <c r="F148" s="218">
        <v>0</v>
      </c>
      <c r="G148" s="218">
        <v>0</v>
      </c>
      <c r="H148" s="219">
        <v>0</v>
      </c>
      <c r="I148" s="218">
        <v>0</v>
      </c>
      <c r="J148" s="218">
        <v>0</v>
      </c>
      <c r="K148" s="218">
        <v>0</v>
      </c>
      <c r="L148" s="219">
        <v>0</v>
      </c>
      <c r="M148" s="218">
        <v>0</v>
      </c>
      <c r="N148" s="219">
        <v>0</v>
      </c>
      <c r="O148" s="218">
        <v>0</v>
      </c>
      <c r="P148" s="219">
        <v>0</v>
      </c>
      <c r="Q148" s="1276"/>
      <c r="R148" s="1276"/>
      <c r="S148" s="1276"/>
      <c r="T148" s="1276"/>
    </row>
    <row r="149" spans="1:38" hidden="1">
      <c r="A149" s="75" t="str">
        <f>+A26</f>
        <v>11205020810</v>
      </c>
      <c r="B149" s="1151" t="s">
        <v>566</v>
      </c>
      <c r="C149" s="711">
        <v>0</v>
      </c>
      <c r="D149" s="220">
        <v>0</v>
      </c>
      <c r="E149" s="76">
        <v>0</v>
      </c>
      <c r="F149" s="218">
        <v>0</v>
      </c>
      <c r="G149" s="76">
        <v>0</v>
      </c>
      <c r="H149" s="220">
        <v>0</v>
      </c>
      <c r="I149" s="76">
        <v>0</v>
      </c>
      <c r="J149" s="76">
        <v>0</v>
      </c>
      <c r="K149" s="76">
        <v>0</v>
      </c>
      <c r="L149" s="220">
        <v>0</v>
      </c>
      <c r="M149" s="76">
        <v>0</v>
      </c>
      <c r="N149" s="220">
        <v>0</v>
      </c>
      <c r="O149" s="76">
        <v>0</v>
      </c>
      <c r="P149" s="220">
        <v>0</v>
      </c>
      <c r="Q149" s="220"/>
      <c r="R149" s="220"/>
      <c r="S149" s="220"/>
      <c r="T149" s="220"/>
    </row>
    <row r="150" spans="1:38" hidden="1">
      <c r="A150" s="75" t="str">
        <f>+A82</f>
        <v>112050207</v>
      </c>
      <c r="B150" s="1151" t="s">
        <v>567</v>
      </c>
      <c r="C150" s="711">
        <v>0</v>
      </c>
      <c r="D150" s="220">
        <v>0</v>
      </c>
      <c r="E150" s="76">
        <v>0</v>
      </c>
      <c r="F150" s="218">
        <v>0</v>
      </c>
      <c r="G150" s="76">
        <v>0</v>
      </c>
      <c r="H150" s="220">
        <v>0</v>
      </c>
      <c r="I150" s="76">
        <v>0</v>
      </c>
      <c r="J150" s="76">
        <v>0</v>
      </c>
      <c r="K150" s="76">
        <v>0</v>
      </c>
      <c r="L150" s="220">
        <v>0</v>
      </c>
      <c r="M150" s="76">
        <v>0</v>
      </c>
      <c r="N150" s="220">
        <v>0</v>
      </c>
      <c r="O150" s="76">
        <v>0</v>
      </c>
      <c r="P150" s="220">
        <v>0</v>
      </c>
      <c r="Q150" s="220"/>
      <c r="R150" s="220"/>
      <c r="S150" s="220"/>
      <c r="T150" s="220"/>
    </row>
    <row r="151" spans="1:38" hidden="1">
      <c r="A151" s="75" t="str">
        <f>+A105</f>
        <v>12202</v>
      </c>
      <c r="B151" s="1151" t="s">
        <v>568</v>
      </c>
      <c r="C151" s="711">
        <v>0</v>
      </c>
      <c r="D151" s="220">
        <v>0</v>
      </c>
      <c r="E151" s="76">
        <v>0</v>
      </c>
      <c r="F151" s="218">
        <v>0</v>
      </c>
      <c r="G151" s="76">
        <v>0</v>
      </c>
      <c r="H151" s="220">
        <v>0</v>
      </c>
      <c r="I151" s="76">
        <v>0</v>
      </c>
      <c r="J151" s="76">
        <v>0</v>
      </c>
      <c r="K151" s="76">
        <v>0</v>
      </c>
      <c r="L151" s="220">
        <v>0</v>
      </c>
      <c r="M151" s="76">
        <v>0</v>
      </c>
      <c r="N151" s="220">
        <v>0</v>
      </c>
      <c r="O151" s="76">
        <v>0</v>
      </c>
      <c r="P151" s="220">
        <v>0</v>
      </c>
      <c r="Q151" s="220"/>
      <c r="R151" s="220"/>
      <c r="S151" s="220"/>
      <c r="T151" s="220"/>
    </row>
    <row r="152" spans="1:38" hidden="1">
      <c r="A152" s="75" t="str">
        <f>+'Ingresos Proyecciones'!A59</f>
        <v>1120502010103</v>
      </c>
      <c r="B152" s="1151" t="s">
        <v>569</v>
      </c>
      <c r="C152" s="711">
        <v>0</v>
      </c>
      <c r="D152" s="220">
        <v>0</v>
      </c>
      <c r="E152" s="220">
        <v>0</v>
      </c>
      <c r="F152" s="218">
        <v>0</v>
      </c>
      <c r="G152" s="220">
        <v>0</v>
      </c>
      <c r="H152" s="220">
        <v>0</v>
      </c>
      <c r="I152" s="220">
        <v>0</v>
      </c>
      <c r="J152" s="220">
        <v>0</v>
      </c>
      <c r="K152" s="220">
        <v>0</v>
      </c>
      <c r="L152" s="220">
        <v>0</v>
      </c>
      <c r="M152" s="220">
        <v>0</v>
      </c>
      <c r="N152" s="220">
        <v>0</v>
      </c>
      <c r="O152" s="220">
        <v>0</v>
      </c>
      <c r="P152" s="220">
        <v>0</v>
      </c>
      <c r="Q152" s="220"/>
      <c r="R152" s="220"/>
      <c r="S152" s="220"/>
      <c r="T152" s="220"/>
    </row>
    <row r="153" spans="1:38" hidden="1">
      <c r="A153" s="365" t="s">
        <v>895</v>
      </c>
      <c r="B153" s="1151" t="s">
        <v>570</v>
      </c>
      <c r="C153" s="711">
        <v>0</v>
      </c>
      <c r="D153" s="220">
        <v>0</v>
      </c>
      <c r="E153" s="76">
        <v>0</v>
      </c>
      <c r="F153" s="218">
        <v>0</v>
      </c>
      <c r="G153" s="76">
        <v>0</v>
      </c>
      <c r="H153" s="220">
        <v>0</v>
      </c>
      <c r="I153" s="76">
        <v>0</v>
      </c>
      <c r="J153" s="76">
        <v>0</v>
      </c>
      <c r="K153" s="76">
        <v>0</v>
      </c>
      <c r="L153" s="220">
        <v>0</v>
      </c>
      <c r="M153" s="76">
        <v>0</v>
      </c>
      <c r="N153" s="220">
        <v>0</v>
      </c>
      <c r="O153" s="76">
        <v>0</v>
      </c>
      <c r="P153" s="220">
        <v>0</v>
      </c>
      <c r="Q153" s="220"/>
      <c r="R153" s="220"/>
      <c r="S153" s="220"/>
      <c r="T153" s="220"/>
    </row>
    <row r="154" spans="1:38" hidden="1">
      <c r="A154" s="366" t="s">
        <v>451</v>
      </c>
      <c r="B154" s="1151" t="s">
        <v>571</v>
      </c>
      <c r="C154" s="711">
        <v>0</v>
      </c>
      <c r="D154" s="220">
        <v>0</v>
      </c>
      <c r="E154" s="76">
        <v>0</v>
      </c>
      <c r="F154" s="954">
        <v>0</v>
      </c>
      <c r="G154" s="76">
        <v>0</v>
      </c>
      <c r="H154" s="220">
        <v>0</v>
      </c>
      <c r="I154" s="76">
        <v>0</v>
      </c>
      <c r="J154" s="76">
        <v>0</v>
      </c>
      <c r="K154" s="76">
        <v>0</v>
      </c>
      <c r="L154" s="220">
        <v>0</v>
      </c>
      <c r="M154" s="76">
        <v>0</v>
      </c>
      <c r="N154" s="220">
        <v>0</v>
      </c>
      <c r="O154" s="76">
        <v>0</v>
      </c>
      <c r="P154" s="220">
        <v>0</v>
      </c>
      <c r="Q154" s="220"/>
      <c r="R154" s="220"/>
      <c r="S154" s="220"/>
      <c r="T154" s="220"/>
    </row>
    <row r="155" spans="1:38" hidden="1">
      <c r="A155" s="366" t="s">
        <v>444</v>
      </c>
      <c r="B155" s="1151" t="s">
        <v>572</v>
      </c>
      <c r="C155" s="711">
        <v>0</v>
      </c>
      <c r="D155" s="220">
        <v>0</v>
      </c>
      <c r="E155" s="76">
        <v>0</v>
      </c>
      <c r="F155" s="220">
        <v>0</v>
      </c>
      <c r="G155" s="76">
        <v>0</v>
      </c>
      <c r="H155" s="220">
        <v>0</v>
      </c>
      <c r="I155" s="76">
        <v>0</v>
      </c>
      <c r="J155" s="76">
        <v>0</v>
      </c>
      <c r="K155" s="76">
        <v>0</v>
      </c>
      <c r="L155" s="220">
        <v>0</v>
      </c>
      <c r="M155" s="76">
        <v>0</v>
      </c>
      <c r="N155" s="220">
        <v>0</v>
      </c>
      <c r="O155" s="76">
        <v>0</v>
      </c>
      <c r="P155" s="220">
        <v>0</v>
      </c>
      <c r="Q155" s="220"/>
      <c r="R155" s="220"/>
      <c r="S155" s="220"/>
      <c r="T155" s="220"/>
    </row>
    <row r="156" spans="1:38" s="969" customFormat="1" hidden="1">
      <c r="A156" s="355" t="s">
        <v>546</v>
      </c>
      <c r="B156" s="1152" t="s">
        <v>547</v>
      </c>
      <c r="C156" s="686">
        <f>+SUM(C157:C166)</f>
        <v>0</v>
      </c>
      <c r="D156" s="686">
        <f>+SUM(D157:D166)</f>
        <v>0</v>
      </c>
      <c r="E156" s="686">
        <f>+SUM(E157:E166)</f>
        <v>0</v>
      </c>
      <c r="F156" s="686">
        <f>+SUM(F157:F166)</f>
        <v>0</v>
      </c>
      <c r="G156" s="356">
        <f t="shared" ref="G156:P156" si="161">+SUM(G157:G164)</f>
        <v>0</v>
      </c>
      <c r="H156" s="357">
        <f t="shared" si="161"/>
        <v>0</v>
      </c>
      <c r="I156" s="356">
        <f t="shared" si="161"/>
        <v>0</v>
      </c>
      <c r="J156" s="356">
        <f t="shared" si="161"/>
        <v>0</v>
      </c>
      <c r="K156" s="356">
        <f t="shared" si="161"/>
        <v>0</v>
      </c>
      <c r="L156" s="357">
        <f t="shared" si="161"/>
        <v>0</v>
      </c>
      <c r="M156" s="356">
        <f t="shared" si="161"/>
        <v>0</v>
      </c>
      <c r="N156" s="357">
        <f t="shared" si="161"/>
        <v>0</v>
      </c>
      <c r="O156" s="356">
        <f t="shared" si="161"/>
        <v>0</v>
      </c>
      <c r="P156" s="357">
        <f t="shared" si="161"/>
        <v>0</v>
      </c>
      <c r="Q156" s="1277"/>
      <c r="R156" s="1277"/>
      <c r="S156" s="1277"/>
      <c r="T156" s="1277"/>
      <c r="X156" s="970"/>
      <c r="Y156" s="970"/>
      <c r="Z156" s="970"/>
      <c r="AA156" s="970"/>
      <c r="AL156" s="972"/>
    </row>
    <row r="157" spans="1:38" hidden="1">
      <c r="A157" s="366" t="s">
        <v>548</v>
      </c>
      <c r="B157" s="1153" t="s">
        <v>549</v>
      </c>
      <c r="C157" s="361">
        <v>0</v>
      </c>
      <c r="D157" s="360">
        <v>0</v>
      </c>
      <c r="E157" s="360">
        <v>0</v>
      </c>
      <c r="F157" s="360">
        <v>0</v>
      </c>
      <c r="G157" s="360">
        <v>0</v>
      </c>
      <c r="H157" s="361">
        <v>0</v>
      </c>
      <c r="I157" s="360">
        <v>0</v>
      </c>
      <c r="J157" s="360">
        <v>0</v>
      </c>
      <c r="K157" s="360">
        <v>0</v>
      </c>
      <c r="L157" s="360">
        <v>0</v>
      </c>
      <c r="M157" s="360">
        <v>0</v>
      </c>
      <c r="N157" s="360">
        <v>0</v>
      </c>
      <c r="O157" s="360">
        <v>0</v>
      </c>
      <c r="P157" s="360">
        <v>0</v>
      </c>
      <c r="Q157" s="1278"/>
      <c r="R157" s="1278"/>
      <c r="S157" s="1278"/>
      <c r="T157" s="1278"/>
    </row>
    <row r="158" spans="1:38" hidden="1">
      <c r="A158" s="404" t="s">
        <v>812</v>
      </c>
      <c r="B158" s="1153" t="s">
        <v>358</v>
      </c>
      <c r="C158" s="361">
        <v>0</v>
      </c>
      <c r="D158" s="360">
        <v>0</v>
      </c>
      <c r="E158" s="360">
        <v>0</v>
      </c>
      <c r="F158" s="360">
        <v>0</v>
      </c>
      <c r="G158" s="360">
        <v>0</v>
      </c>
      <c r="H158" s="361">
        <v>0</v>
      </c>
      <c r="I158" s="360">
        <v>0</v>
      </c>
      <c r="J158" s="360">
        <v>0</v>
      </c>
      <c r="K158" s="360">
        <v>0</v>
      </c>
      <c r="L158" s="360">
        <v>0</v>
      </c>
      <c r="M158" s="360">
        <v>0</v>
      </c>
      <c r="N158" s="360">
        <v>0</v>
      </c>
      <c r="O158" s="360">
        <v>0</v>
      </c>
      <c r="P158" s="360">
        <v>0</v>
      </c>
      <c r="Q158" s="1278"/>
      <c r="R158" s="1278"/>
      <c r="S158" s="1278"/>
      <c r="T158" s="1278"/>
    </row>
    <row r="159" spans="1:38" ht="38.25" hidden="1">
      <c r="A159" s="405" t="s">
        <v>814</v>
      </c>
      <c r="B159" s="1153" t="s">
        <v>360</v>
      </c>
      <c r="C159" s="361">
        <v>0</v>
      </c>
      <c r="D159" s="360">
        <v>0</v>
      </c>
      <c r="E159" s="360">
        <v>0</v>
      </c>
      <c r="F159" s="360">
        <v>0</v>
      </c>
      <c r="G159" s="360">
        <v>0</v>
      </c>
      <c r="H159" s="361">
        <v>0</v>
      </c>
      <c r="I159" s="360">
        <v>0</v>
      </c>
      <c r="J159" s="360">
        <v>0</v>
      </c>
      <c r="K159" s="360">
        <v>0</v>
      </c>
      <c r="L159" s="360">
        <v>0</v>
      </c>
      <c r="M159" s="360">
        <v>0</v>
      </c>
      <c r="N159" s="360">
        <v>0</v>
      </c>
      <c r="O159" s="360">
        <v>0</v>
      </c>
      <c r="P159" s="360">
        <v>0</v>
      </c>
      <c r="Q159" s="1278"/>
      <c r="R159" s="1278"/>
      <c r="S159" s="1278"/>
      <c r="T159" s="1278"/>
    </row>
    <row r="160" spans="1:38" ht="25.5" hidden="1">
      <c r="A160" s="405" t="s">
        <v>361</v>
      </c>
      <c r="B160" s="1153" t="s">
        <v>819</v>
      </c>
      <c r="C160" s="361">
        <v>0</v>
      </c>
      <c r="D160" s="360">
        <v>0</v>
      </c>
      <c r="E160" s="360">
        <v>0</v>
      </c>
      <c r="F160" s="360">
        <v>0</v>
      </c>
      <c r="G160" s="360">
        <v>0</v>
      </c>
      <c r="H160" s="361">
        <v>0</v>
      </c>
      <c r="I160" s="360">
        <v>0</v>
      </c>
      <c r="J160" s="360">
        <v>0</v>
      </c>
      <c r="K160" s="360">
        <v>0</v>
      </c>
      <c r="L160" s="360">
        <v>0</v>
      </c>
      <c r="M160" s="360">
        <v>0</v>
      </c>
      <c r="N160" s="360">
        <v>0</v>
      </c>
      <c r="O160" s="360">
        <v>0</v>
      </c>
      <c r="P160" s="360">
        <v>0</v>
      </c>
      <c r="Q160" s="1278"/>
      <c r="R160" s="1278"/>
      <c r="S160" s="1278"/>
      <c r="T160" s="1278"/>
    </row>
    <row r="161" spans="1:21" hidden="1">
      <c r="A161" s="405" t="s">
        <v>820</v>
      </c>
      <c r="B161" s="1153" t="s">
        <v>821</v>
      </c>
      <c r="C161" s="361">
        <v>0</v>
      </c>
      <c r="D161" s="360">
        <v>0</v>
      </c>
      <c r="E161" s="360">
        <v>0</v>
      </c>
      <c r="F161" s="360">
        <v>0</v>
      </c>
      <c r="G161" s="360">
        <v>0</v>
      </c>
      <c r="H161" s="361">
        <v>0</v>
      </c>
      <c r="I161" s="360">
        <v>0</v>
      </c>
      <c r="J161" s="360">
        <v>0</v>
      </c>
      <c r="K161" s="360">
        <v>0</v>
      </c>
      <c r="L161" s="360">
        <v>0</v>
      </c>
      <c r="M161" s="360">
        <v>0</v>
      </c>
      <c r="N161" s="360">
        <v>0</v>
      </c>
      <c r="O161" s="360">
        <v>0</v>
      </c>
      <c r="P161" s="360">
        <v>0</v>
      </c>
      <c r="Q161" s="1278"/>
      <c r="R161" s="1278"/>
      <c r="S161" s="1278"/>
      <c r="T161" s="1278"/>
    </row>
    <row r="162" spans="1:21" hidden="1">
      <c r="A162" s="406" t="s">
        <v>822</v>
      </c>
      <c r="B162" s="1153" t="s">
        <v>823</v>
      </c>
      <c r="C162" s="361">
        <v>0</v>
      </c>
      <c r="D162" s="360">
        <v>0</v>
      </c>
      <c r="E162" s="360">
        <v>0</v>
      </c>
      <c r="F162" s="360">
        <v>0</v>
      </c>
      <c r="G162" s="360">
        <v>0</v>
      </c>
      <c r="H162" s="361">
        <v>0</v>
      </c>
      <c r="I162" s="360">
        <v>0</v>
      </c>
      <c r="J162" s="360">
        <v>0</v>
      </c>
      <c r="K162" s="360">
        <v>0</v>
      </c>
      <c r="L162" s="360">
        <v>0</v>
      </c>
      <c r="M162" s="360">
        <v>0</v>
      </c>
      <c r="N162" s="360">
        <v>0</v>
      </c>
      <c r="O162" s="360">
        <v>0</v>
      </c>
      <c r="P162" s="360">
        <v>0</v>
      </c>
      <c r="Q162" s="1278"/>
      <c r="R162" s="1278"/>
      <c r="S162" s="1278"/>
      <c r="T162" s="1278"/>
    </row>
    <row r="163" spans="1:21" hidden="1">
      <c r="A163" s="407" t="s">
        <v>833</v>
      </c>
      <c r="B163" s="1153" t="s">
        <v>550</v>
      </c>
      <c r="C163" s="361">
        <v>0</v>
      </c>
      <c r="D163" s="360">
        <v>0</v>
      </c>
      <c r="E163" s="360">
        <v>0</v>
      </c>
      <c r="F163" s="360">
        <v>0</v>
      </c>
      <c r="G163" s="360">
        <v>0</v>
      </c>
      <c r="H163" s="361">
        <v>0</v>
      </c>
      <c r="I163" s="360">
        <v>0</v>
      </c>
      <c r="J163" s="360">
        <v>0</v>
      </c>
      <c r="K163" s="360">
        <v>0</v>
      </c>
      <c r="L163" s="360">
        <v>0</v>
      </c>
      <c r="M163" s="360">
        <v>0</v>
      </c>
      <c r="N163" s="360">
        <v>0</v>
      </c>
      <c r="O163" s="360">
        <v>0</v>
      </c>
      <c r="P163" s="360">
        <v>0</v>
      </c>
      <c r="Q163" s="1278"/>
      <c r="R163" s="1278"/>
      <c r="S163" s="1278"/>
      <c r="T163" s="1278"/>
    </row>
    <row r="164" spans="1:21" hidden="1">
      <c r="A164" s="366" t="s">
        <v>847</v>
      </c>
      <c r="B164" s="1153" t="s">
        <v>551</v>
      </c>
      <c r="C164" s="361">
        <v>0</v>
      </c>
      <c r="D164" s="360">
        <v>0</v>
      </c>
      <c r="E164" s="360">
        <v>0</v>
      </c>
      <c r="F164" s="360">
        <v>0</v>
      </c>
      <c r="G164" s="360">
        <v>0</v>
      </c>
      <c r="H164" s="361">
        <v>0</v>
      </c>
      <c r="I164" s="360">
        <v>0</v>
      </c>
      <c r="J164" s="360">
        <v>0</v>
      </c>
      <c r="K164" s="360">
        <v>0</v>
      </c>
      <c r="L164" s="360">
        <v>0</v>
      </c>
      <c r="M164" s="360">
        <v>0</v>
      </c>
      <c r="N164" s="360">
        <v>0</v>
      </c>
      <c r="O164" s="360">
        <v>0</v>
      </c>
      <c r="P164" s="360">
        <v>0</v>
      </c>
      <c r="Q164" s="1278"/>
      <c r="R164" s="1278"/>
      <c r="S164" s="1278"/>
      <c r="T164" s="1278"/>
    </row>
    <row r="165" spans="1:21" ht="25.5" hidden="1">
      <c r="A165" s="367" t="s">
        <v>552</v>
      </c>
      <c r="B165" s="1154" t="s">
        <v>553</v>
      </c>
      <c r="C165" s="924">
        <v>0</v>
      </c>
      <c r="D165" s="924">
        <v>0</v>
      </c>
      <c r="E165" s="924">
        <v>0</v>
      </c>
      <c r="F165" s="924">
        <v>0</v>
      </c>
      <c r="G165" s="924">
        <v>0</v>
      </c>
      <c r="H165" s="924">
        <v>0</v>
      </c>
      <c r="I165" s="924">
        <v>0</v>
      </c>
      <c r="J165" s="924">
        <v>0</v>
      </c>
      <c r="K165" s="924">
        <v>0</v>
      </c>
      <c r="L165" s="924">
        <v>0</v>
      </c>
      <c r="M165" s="924">
        <v>0</v>
      </c>
      <c r="N165" s="924">
        <v>0</v>
      </c>
      <c r="O165" s="924">
        <v>0</v>
      </c>
      <c r="P165" s="924">
        <v>0</v>
      </c>
      <c r="Q165" s="1279"/>
      <c r="R165" s="1279"/>
      <c r="S165" s="1279"/>
      <c r="T165" s="1279"/>
    </row>
    <row r="166" spans="1:21" ht="13.5" hidden="1" thickBot="1">
      <c r="A166" s="368" t="s">
        <v>554</v>
      </c>
      <c r="B166" s="1155" t="s">
        <v>555</v>
      </c>
      <c r="C166" s="925">
        <v>0</v>
      </c>
      <c r="D166" s="925">
        <v>0</v>
      </c>
      <c r="E166" s="925">
        <v>0</v>
      </c>
      <c r="F166" s="925">
        <v>0</v>
      </c>
      <c r="G166" s="925">
        <v>0</v>
      </c>
      <c r="H166" s="925">
        <v>0</v>
      </c>
      <c r="I166" s="925">
        <v>0</v>
      </c>
      <c r="J166" s="925">
        <v>0</v>
      </c>
      <c r="K166" s="925">
        <v>0</v>
      </c>
      <c r="L166" s="925">
        <v>0</v>
      </c>
      <c r="M166" s="925">
        <v>0</v>
      </c>
      <c r="N166" s="925">
        <v>0</v>
      </c>
      <c r="O166" s="925">
        <v>0</v>
      </c>
      <c r="P166" s="925">
        <v>0</v>
      </c>
      <c r="Q166" s="1280"/>
      <c r="R166" s="1280"/>
      <c r="S166" s="1280"/>
      <c r="T166" s="1280"/>
    </row>
    <row r="167" spans="1:21" hidden="1">
      <c r="A167" s="1"/>
      <c r="B167" s="1143"/>
      <c r="C167" s="1"/>
      <c r="D167" s="1"/>
      <c r="E167" s="1"/>
      <c r="F167" s="1"/>
      <c r="G167" s="1"/>
      <c r="H167" s="1"/>
      <c r="I167" s="1"/>
      <c r="J167" s="1"/>
      <c r="K167" s="1"/>
      <c r="L167" s="1"/>
      <c r="M167" s="1"/>
      <c r="N167" s="1"/>
      <c r="O167" s="1"/>
      <c r="P167" s="1"/>
      <c r="Q167" s="1"/>
      <c r="R167" s="1"/>
      <c r="S167" s="1"/>
      <c r="T167" s="1"/>
      <c r="U167" s="1"/>
    </row>
    <row r="168" spans="1:21" hidden="1">
      <c r="A168" s="1"/>
      <c r="B168" s="1143"/>
      <c r="C168" s="1"/>
      <c r="D168" s="1"/>
      <c r="E168" s="1"/>
      <c r="F168" s="1"/>
      <c r="G168" s="1"/>
      <c r="H168" s="1"/>
      <c r="I168" s="1"/>
      <c r="J168" s="1"/>
      <c r="K168" s="1"/>
      <c r="L168" s="1"/>
      <c r="M168" s="1"/>
      <c r="N168" s="1"/>
      <c r="O168" s="1"/>
      <c r="P168" s="1"/>
      <c r="Q168" s="1"/>
      <c r="R168" s="1"/>
      <c r="S168" s="1"/>
      <c r="T168" s="1"/>
      <c r="U168" s="1"/>
    </row>
    <row r="169" spans="1:21" hidden="1">
      <c r="A169" s="1"/>
      <c r="B169" s="1143"/>
      <c r="C169" s="900"/>
      <c r="D169" s="1"/>
      <c r="E169" s="1"/>
      <c r="F169" s="1"/>
      <c r="G169" s="1"/>
      <c r="H169" s="1"/>
      <c r="I169" s="1"/>
      <c r="J169" s="1"/>
      <c r="K169" s="1"/>
      <c r="L169" s="1"/>
      <c r="M169" s="1"/>
      <c r="N169" s="1"/>
      <c r="O169" s="1"/>
      <c r="P169" s="1"/>
      <c r="Q169" s="1"/>
      <c r="R169" s="1"/>
      <c r="S169" s="1"/>
      <c r="T169" s="1"/>
      <c r="U169" s="1"/>
    </row>
    <row r="170" spans="1:21" hidden="1">
      <c r="A170" s="1"/>
      <c r="B170" s="1143"/>
      <c r="C170" s="900"/>
      <c r="D170" s="1"/>
      <c r="E170" s="1"/>
      <c r="F170" s="1"/>
      <c r="G170" s="1"/>
      <c r="H170" s="1"/>
      <c r="I170" s="1"/>
      <c r="J170" s="1"/>
      <c r="K170" s="1"/>
      <c r="L170" s="1"/>
      <c r="M170" s="1"/>
      <c r="N170" s="1"/>
      <c r="O170" s="1"/>
      <c r="P170" s="1"/>
      <c r="Q170" s="1"/>
      <c r="R170" s="1"/>
      <c r="S170" s="1"/>
      <c r="T170" s="1"/>
      <c r="U170" s="1"/>
    </row>
    <row r="171" spans="1:21" hidden="1">
      <c r="A171" s="1"/>
      <c r="B171" s="1143"/>
      <c r="C171" s="1"/>
      <c r="D171" s="1"/>
      <c r="E171" s="1"/>
      <c r="F171" s="1"/>
      <c r="G171" s="1"/>
      <c r="H171" s="1"/>
      <c r="I171" s="1"/>
      <c r="J171" s="1"/>
      <c r="K171" s="1"/>
      <c r="L171" s="1"/>
      <c r="M171" s="1"/>
      <c r="N171" s="1"/>
      <c r="O171" s="1"/>
      <c r="P171" s="1"/>
      <c r="Q171" s="1"/>
      <c r="R171" s="1"/>
      <c r="S171" s="1"/>
      <c r="T171" s="1"/>
      <c r="U171" s="1"/>
    </row>
    <row r="172" spans="1:21" hidden="1">
      <c r="A172" s="1"/>
      <c r="B172" s="1143"/>
      <c r="C172" s="1"/>
      <c r="D172" s="1"/>
      <c r="E172" s="1"/>
      <c r="F172" s="1"/>
      <c r="G172" s="1"/>
      <c r="H172" s="1"/>
      <c r="I172" s="1"/>
      <c r="J172" s="1"/>
      <c r="K172" s="1"/>
      <c r="L172" s="1"/>
      <c r="M172" s="1"/>
      <c r="N172" s="1"/>
      <c r="O172" s="1"/>
      <c r="P172" s="1"/>
      <c r="Q172" s="1"/>
      <c r="R172" s="1"/>
      <c r="S172" s="1"/>
      <c r="T172" s="1"/>
      <c r="U172" s="1"/>
    </row>
    <row r="173" spans="1:21" hidden="1">
      <c r="A173" s="1"/>
      <c r="B173" s="1143"/>
      <c r="C173" s="1"/>
      <c r="D173" s="1"/>
      <c r="E173" s="1"/>
      <c r="F173" s="1"/>
      <c r="G173" s="1"/>
      <c r="H173" s="1"/>
      <c r="I173" s="1"/>
      <c r="J173" s="1"/>
      <c r="K173" s="1"/>
      <c r="L173" s="1"/>
      <c r="M173" s="1"/>
      <c r="N173" s="1"/>
      <c r="O173" s="1"/>
      <c r="P173" s="1"/>
      <c r="Q173" s="1"/>
      <c r="R173" s="1"/>
      <c r="S173" s="1"/>
      <c r="T173" s="1"/>
      <c r="U173" s="1"/>
    </row>
    <row r="174" spans="1:21" hidden="1">
      <c r="A174" s="1"/>
      <c r="B174" s="1143"/>
      <c r="C174" s="1"/>
      <c r="D174" s="1"/>
      <c r="E174" s="1"/>
      <c r="F174" s="1"/>
      <c r="G174" s="1"/>
      <c r="H174" s="1"/>
      <c r="I174" s="1"/>
      <c r="J174" s="1"/>
      <c r="K174" s="1"/>
      <c r="L174" s="1"/>
      <c r="M174" s="1"/>
      <c r="N174" s="1"/>
      <c r="O174" s="1"/>
      <c r="P174" s="1"/>
      <c r="Q174" s="1"/>
      <c r="R174" s="1"/>
      <c r="S174" s="1"/>
      <c r="T174" s="1"/>
      <c r="U174" s="1"/>
    </row>
    <row r="175" spans="1:21" hidden="1">
      <c r="A175" s="1"/>
      <c r="B175" s="1143"/>
      <c r="C175" s="1"/>
      <c r="D175" s="1"/>
      <c r="E175" s="1"/>
      <c r="F175" s="1"/>
      <c r="G175" s="1"/>
      <c r="H175" s="1"/>
      <c r="I175" s="1"/>
      <c r="J175" s="1"/>
      <c r="K175" s="1"/>
      <c r="L175" s="1"/>
      <c r="M175" s="1"/>
      <c r="N175" s="1"/>
      <c r="O175" s="1"/>
      <c r="P175" s="1"/>
      <c r="Q175" s="1"/>
      <c r="R175" s="1"/>
      <c r="S175" s="1"/>
      <c r="T175" s="1"/>
      <c r="U175" s="1"/>
    </row>
    <row r="176" spans="1:21" hidden="1">
      <c r="A176" s="1"/>
      <c r="B176" s="1143"/>
      <c r="C176" s="1"/>
      <c r="D176" s="1"/>
      <c r="E176" s="1"/>
      <c r="F176" s="1"/>
      <c r="G176" s="1"/>
      <c r="H176" s="1"/>
      <c r="I176" s="1"/>
      <c r="J176" s="1"/>
      <c r="K176" s="1"/>
      <c r="L176" s="1"/>
      <c r="M176" s="1"/>
      <c r="N176" s="1"/>
      <c r="O176" s="1"/>
      <c r="P176" s="1"/>
      <c r="Q176" s="1"/>
      <c r="R176" s="1"/>
      <c r="S176" s="1"/>
      <c r="T176" s="1"/>
      <c r="U176" s="1"/>
    </row>
    <row r="177" spans="1:38" s="836" customFormat="1" hidden="1">
      <c r="A177" s="713"/>
      <c r="B177" s="1156"/>
      <c r="C177" s="713"/>
      <c r="D177" s="713"/>
      <c r="E177" s="713"/>
      <c r="F177" s="713"/>
      <c r="G177" s="713"/>
      <c r="H177" s="713"/>
      <c r="I177" s="713"/>
      <c r="J177" s="713"/>
      <c r="K177" s="713"/>
      <c r="L177" s="713"/>
      <c r="M177" s="713"/>
      <c r="N177" s="713"/>
      <c r="O177" s="713"/>
      <c r="P177" s="713"/>
      <c r="Q177" s="713"/>
      <c r="R177" s="713"/>
      <c r="S177" s="713"/>
      <c r="T177" s="713"/>
      <c r="U177" s="713"/>
      <c r="X177" s="965"/>
      <c r="Y177" s="965"/>
      <c r="Z177" s="965"/>
      <c r="AA177" s="965"/>
      <c r="AL177" s="964"/>
    </row>
    <row r="178" spans="1:38" s="836" customFormat="1" hidden="1">
      <c r="A178" s="713"/>
      <c r="B178" s="1156" t="s">
        <v>573</v>
      </c>
      <c r="C178" s="713">
        <v>3</v>
      </c>
      <c r="D178" s="713">
        <v>4</v>
      </c>
      <c r="E178" s="713">
        <v>5</v>
      </c>
      <c r="F178" s="713">
        <v>6</v>
      </c>
      <c r="G178" s="713">
        <v>7</v>
      </c>
      <c r="H178" s="713">
        <v>8</v>
      </c>
      <c r="I178" s="713">
        <v>9</v>
      </c>
      <c r="J178" s="713">
        <v>10</v>
      </c>
      <c r="K178" s="713">
        <v>11</v>
      </c>
      <c r="L178" s="713">
        <v>12</v>
      </c>
      <c r="M178" s="713">
        <v>13</v>
      </c>
      <c r="N178" s="713">
        <v>14</v>
      </c>
      <c r="O178" s="713">
        <v>15</v>
      </c>
      <c r="P178" s="713">
        <v>16</v>
      </c>
      <c r="Q178" s="713"/>
      <c r="R178" s="713"/>
      <c r="S178" s="713"/>
      <c r="T178" s="713"/>
      <c r="U178" s="713">
        <v>18</v>
      </c>
      <c r="V178" s="836">
        <v>19</v>
      </c>
      <c r="W178" s="836">
        <v>20</v>
      </c>
      <c r="X178" s="965"/>
      <c r="Y178" s="965"/>
      <c r="Z178" s="965"/>
      <c r="AA178" s="965"/>
      <c r="AL178" s="964"/>
    </row>
    <row r="179" spans="1:38" s="836" customFormat="1" hidden="1">
      <c r="A179" s="713"/>
      <c r="B179" s="1156"/>
      <c r="C179" s="713"/>
      <c r="D179" s="713"/>
      <c r="E179" s="713"/>
      <c r="F179" s="713"/>
      <c r="G179" s="713"/>
      <c r="H179" s="713"/>
      <c r="I179" s="713"/>
      <c r="J179" s="713"/>
      <c r="K179" s="713"/>
      <c r="L179" s="713"/>
      <c r="M179" s="713"/>
      <c r="N179" s="713"/>
      <c r="O179" s="713"/>
      <c r="P179" s="713"/>
      <c r="Q179" s="713"/>
      <c r="R179" s="713"/>
      <c r="S179" s="713"/>
      <c r="T179" s="713"/>
      <c r="U179" s="713"/>
      <c r="X179" s="965"/>
      <c r="Y179" s="965"/>
      <c r="Z179" s="965"/>
      <c r="AA179" s="965"/>
      <c r="AL179" s="964"/>
    </row>
    <row r="180" spans="1:38" s="836" customFormat="1" hidden="1">
      <c r="A180" s="713"/>
      <c r="B180" s="1156"/>
      <c r="C180" s="713"/>
      <c r="D180" s="713"/>
      <c r="E180" s="713"/>
      <c r="F180" s="713"/>
      <c r="G180" s="713"/>
      <c r="H180" s="713"/>
      <c r="I180" s="713"/>
      <c r="J180" s="713"/>
      <c r="K180" s="713"/>
      <c r="L180" s="713"/>
      <c r="M180" s="713"/>
      <c r="N180" s="713"/>
      <c r="O180" s="713"/>
      <c r="P180" s="713"/>
      <c r="Q180" s="713"/>
      <c r="R180" s="713"/>
      <c r="S180" s="713"/>
      <c r="T180" s="713"/>
      <c r="U180" s="713"/>
      <c r="X180" s="965"/>
      <c r="Y180" s="965"/>
      <c r="Z180" s="965"/>
      <c r="AA180" s="965"/>
      <c r="AL180" s="964"/>
    </row>
    <row r="181" spans="1:38" s="836" customFormat="1" hidden="1">
      <c r="A181" s="713"/>
      <c r="B181" s="1156"/>
      <c r="C181" s="713"/>
      <c r="D181" s="713"/>
      <c r="E181" s="713"/>
      <c r="F181" s="713"/>
      <c r="G181" s="713"/>
      <c r="H181" s="713"/>
      <c r="I181" s="713"/>
      <c r="J181" s="713"/>
      <c r="K181" s="713"/>
      <c r="L181" s="713"/>
      <c r="M181" s="713"/>
      <c r="N181" s="713"/>
      <c r="O181" s="713"/>
      <c r="P181" s="713"/>
      <c r="Q181" s="713"/>
      <c r="R181" s="713"/>
      <c r="S181" s="713"/>
      <c r="T181" s="713"/>
      <c r="U181" s="713"/>
      <c r="X181" s="965"/>
      <c r="Y181" s="965"/>
      <c r="Z181" s="965"/>
      <c r="AA181" s="965"/>
      <c r="AL181" s="964"/>
    </row>
    <row r="182" spans="1:38" s="836" customFormat="1" hidden="1">
      <c r="A182" s="713"/>
      <c r="B182" s="1156"/>
      <c r="C182" s="713"/>
      <c r="D182" s="713"/>
      <c r="E182" s="713"/>
      <c r="F182" s="713"/>
      <c r="G182" s="713"/>
      <c r="H182" s="713"/>
      <c r="I182" s="713"/>
      <c r="J182" s="713"/>
      <c r="K182" s="713"/>
      <c r="L182" s="713"/>
      <c r="M182" s="713"/>
      <c r="N182" s="713"/>
      <c r="O182" s="713"/>
      <c r="P182" s="713"/>
      <c r="Q182" s="713"/>
      <c r="R182" s="713"/>
      <c r="S182" s="713"/>
      <c r="T182" s="713"/>
      <c r="U182" s="713"/>
      <c r="X182" s="965"/>
      <c r="Y182" s="965"/>
      <c r="Z182" s="965"/>
      <c r="AA182" s="965"/>
      <c r="AL182" s="964"/>
    </row>
    <row r="183" spans="1:38" s="836" customFormat="1" hidden="1">
      <c r="A183" s="713"/>
      <c r="B183" s="1156"/>
      <c r="C183" s="713"/>
      <c r="D183" s="713"/>
      <c r="E183" s="713"/>
      <c r="F183" s="713"/>
      <c r="G183" s="713"/>
      <c r="H183" s="713"/>
      <c r="I183" s="713"/>
      <c r="J183" s="713"/>
      <c r="K183" s="713"/>
      <c r="L183" s="713"/>
      <c r="M183" s="713"/>
      <c r="N183" s="713"/>
      <c r="O183" s="713"/>
      <c r="P183" s="713"/>
      <c r="Q183" s="713"/>
      <c r="R183" s="713"/>
      <c r="S183" s="713"/>
      <c r="T183" s="713"/>
      <c r="U183" s="713"/>
      <c r="X183" s="965"/>
      <c r="Y183" s="965"/>
      <c r="Z183" s="965"/>
      <c r="AA183" s="965"/>
      <c r="AL183" s="964"/>
    </row>
    <row r="190" spans="1:38">
      <c r="B190" s="1102"/>
    </row>
    <row r="191" spans="1:38">
      <c r="B191" s="1102"/>
    </row>
    <row r="192" spans="1:38">
      <c r="B192" s="1102"/>
    </row>
    <row r="193" spans="2:2">
      <c r="B193" s="1102"/>
    </row>
    <row r="194" spans="2:2">
      <c r="B194" s="1102"/>
    </row>
    <row r="195" spans="2:2">
      <c r="B195" s="1102"/>
    </row>
    <row r="196" spans="2:2">
      <c r="B196" s="1102"/>
    </row>
    <row r="197" spans="2:2">
      <c r="B197" s="1102"/>
    </row>
    <row r="198" spans="2:2">
      <c r="B198" s="1241" t="s">
        <v>264</v>
      </c>
    </row>
    <row r="199" spans="2:2">
      <c r="B199" s="1241" t="s">
        <v>265</v>
      </c>
    </row>
    <row r="200" spans="2:2">
      <c r="B200" s="1263" t="s">
        <v>266</v>
      </c>
    </row>
  </sheetData>
  <mergeCells count="6">
    <mergeCell ref="B6:W6"/>
    <mergeCell ref="B7:W7"/>
    <mergeCell ref="B2:W2"/>
    <mergeCell ref="B3:W3"/>
    <mergeCell ref="B4:W4"/>
    <mergeCell ref="B5:W5"/>
  </mergeCells>
  <phoneticPr fontId="33" type="noConversion"/>
  <printOptions horizontalCentered="1"/>
  <pageMargins left="0.19685039370078741" right="0.19685039370078741" top="0.19685039370078741" bottom="0.39370078740157483" header="0.19685039370078741" footer="0.19685039370078741"/>
  <pageSetup scale="67" fitToHeight="2" orientation="landscape" horizontalDpi="4294967295" r:id="rId1"/>
  <headerFooter alignWithMargins="0">
    <oddFooter>&amp;CPágina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sheetPr codeName="Hoja10" enableFormatConditionsCalculation="0">
    <tabColor indexed="11"/>
    <pageSetUpPr fitToPage="1"/>
  </sheetPr>
  <dimension ref="A1:Y229"/>
  <sheetViews>
    <sheetView topLeftCell="B55" zoomScale="80" workbookViewId="0">
      <selection activeCell="M110" sqref="M110"/>
    </sheetView>
  </sheetViews>
  <sheetFormatPr baseColWidth="10" defaultRowHeight="12.75"/>
  <cols>
    <col min="1" max="1" width="0.28515625" style="893" hidden="1" customWidth="1"/>
    <col min="2" max="2" width="38.85546875" style="1157" customWidth="1"/>
    <col min="3" max="7" width="14.7109375" style="893" hidden="1" customWidth="1"/>
    <col min="8" max="8" width="15.5703125" style="893" hidden="1" customWidth="1"/>
    <col min="9" max="10" width="11.28515625" style="893" hidden="1" customWidth="1"/>
    <col min="11" max="11" width="7.5703125" style="893" hidden="1" customWidth="1"/>
    <col min="12" max="12" width="11.28515625" style="893" hidden="1" customWidth="1"/>
    <col min="13" max="20" width="11.28515625" style="893" customWidth="1"/>
    <col min="21" max="21" width="11.5703125" style="893" customWidth="1"/>
    <col min="22" max="16384" width="11.42578125" style="893"/>
  </cols>
  <sheetData>
    <row r="1" spans="1:23" s="1285" customFormat="1">
      <c r="A1" s="277"/>
      <c r="B1" s="1286"/>
      <c r="C1" s="3"/>
      <c r="D1" s="5"/>
      <c r="E1" s="3"/>
      <c r="F1" s="3"/>
      <c r="G1" s="3"/>
      <c r="H1" s="5"/>
      <c r="I1" s="5"/>
      <c r="J1" s="5"/>
      <c r="K1" s="3"/>
      <c r="L1" s="3"/>
      <c r="M1" s="3"/>
      <c r="N1" s="3"/>
      <c r="O1" s="3"/>
      <c r="P1" s="3"/>
      <c r="Q1" s="3"/>
      <c r="R1" s="3"/>
      <c r="S1" s="3"/>
      <c r="T1" s="3"/>
      <c r="U1" s="3"/>
    </row>
    <row r="2" spans="1:23" s="1285" customFormat="1">
      <c r="A2" s="277"/>
      <c r="B2" s="1286"/>
      <c r="C2" s="3"/>
      <c r="D2" s="5"/>
      <c r="E2" s="3"/>
      <c r="F2" s="3"/>
      <c r="G2" s="3"/>
      <c r="H2" s="5"/>
      <c r="I2" s="5"/>
      <c r="J2" s="5"/>
      <c r="K2" s="3"/>
      <c r="L2" s="3"/>
      <c r="M2" s="3"/>
      <c r="N2" s="3"/>
      <c r="O2" s="3"/>
      <c r="P2" s="3"/>
      <c r="Q2" s="3"/>
      <c r="R2" s="3"/>
      <c r="S2" s="3"/>
      <c r="T2" s="3"/>
      <c r="U2" s="3"/>
    </row>
    <row r="3" spans="1:23" s="1285" customFormat="1">
      <c r="A3" s="277"/>
      <c r="B3" s="1321" t="str">
        <f>+'Ingresos Proyecciones'!B2:U2</f>
        <v>MUNICIPIO DE LA VEGA</v>
      </c>
      <c r="C3" s="1321"/>
      <c r="D3" s="1321"/>
      <c r="E3" s="1321"/>
      <c r="F3" s="1321"/>
      <c r="G3" s="1321"/>
      <c r="H3" s="1321"/>
      <c r="I3" s="1321"/>
      <c r="J3" s="1321"/>
      <c r="K3" s="1321"/>
      <c r="L3" s="1321"/>
      <c r="M3" s="1321"/>
      <c r="N3" s="1321"/>
      <c r="O3" s="1321"/>
      <c r="P3" s="1321"/>
      <c r="Q3" s="1321"/>
      <c r="R3" s="1321"/>
      <c r="S3" s="1321"/>
      <c r="T3" s="1321"/>
      <c r="U3" s="1321"/>
      <c r="V3" s="1321"/>
      <c r="W3" s="1321"/>
    </row>
    <row r="4" spans="1:23" s="1285" customFormat="1">
      <c r="A4" s="81"/>
      <c r="B4" s="1321" t="str">
        <f>+'Ingresos Proyecciones'!B3:U3</f>
        <v>NIT. 891.500.997-6</v>
      </c>
      <c r="C4" s="1321"/>
      <c r="D4" s="1321"/>
      <c r="E4" s="1321"/>
      <c r="F4" s="1321"/>
      <c r="G4" s="1321"/>
      <c r="H4" s="1321"/>
      <c r="I4" s="1321"/>
      <c r="J4" s="1321"/>
      <c r="K4" s="1321"/>
      <c r="L4" s="1321"/>
      <c r="M4" s="1321"/>
      <c r="N4" s="1321"/>
      <c r="O4" s="1321"/>
      <c r="P4" s="1321"/>
      <c r="Q4" s="1321"/>
      <c r="R4" s="1321"/>
      <c r="S4" s="1321"/>
      <c r="T4" s="1321"/>
      <c r="U4" s="1321"/>
      <c r="V4" s="1321"/>
      <c r="W4" s="1321"/>
    </row>
    <row r="5" spans="1:23" s="1285" customFormat="1">
      <c r="A5" s="277"/>
      <c r="B5" s="1321" t="s">
        <v>530</v>
      </c>
      <c r="C5" s="1321"/>
      <c r="D5" s="1321"/>
      <c r="E5" s="1321"/>
      <c r="F5" s="1321"/>
      <c r="G5" s="1321"/>
      <c r="H5" s="1321"/>
      <c r="I5" s="1321"/>
      <c r="J5" s="1321"/>
      <c r="K5" s="1321"/>
      <c r="L5" s="1321"/>
      <c r="M5" s="1321"/>
      <c r="N5" s="1321"/>
      <c r="O5" s="1321"/>
      <c r="P5" s="1321"/>
      <c r="Q5" s="1321"/>
      <c r="R5" s="1321"/>
      <c r="S5" s="1321"/>
      <c r="T5" s="1321"/>
      <c r="U5" s="1321"/>
      <c r="V5" s="1321"/>
      <c r="W5" s="1321"/>
    </row>
    <row r="6" spans="1:23" s="1285" customFormat="1">
      <c r="A6" s="81"/>
      <c r="B6" s="1321" t="s">
        <v>1347</v>
      </c>
      <c r="C6" s="1321"/>
      <c r="D6" s="1321"/>
      <c r="E6" s="1321"/>
      <c r="F6" s="1321"/>
      <c r="G6" s="1321"/>
      <c r="H6" s="1321"/>
      <c r="I6" s="1321"/>
      <c r="J6" s="1321"/>
      <c r="K6" s="1321"/>
      <c r="L6" s="1321"/>
      <c r="M6" s="1321"/>
      <c r="N6" s="1321"/>
      <c r="O6" s="1321"/>
      <c r="P6" s="1321"/>
      <c r="Q6" s="1321"/>
      <c r="R6" s="1321"/>
      <c r="S6" s="1321"/>
      <c r="T6" s="1321"/>
      <c r="U6" s="1321"/>
      <c r="V6" s="1321"/>
      <c r="W6" s="1321"/>
    </row>
    <row r="7" spans="1:23" s="1285" customFormat="1">
      <c r="A7" s="81"/>
      <c r="B7" s="1320" t="s">
        <v>490</v>
      </c>
      <c r="C7" s="1320"/>
      <c r="D7" s="1320"/>
      <c r="E7" s="1320"/>
      <c r="F7" s="1320"/>
      <c r="G7" s="1320"/>
      <c r="H7" s="1320"/>
      <c r="I7" s="1320"/>
      <c r="J7" s="1320"/>
      <c r="K7" s="1320"/>
      <c r="L7" s="1320"/>
      <c r="M7" s="1320"/>
      <c r="N7" s="1320"/>
      <c r="O7" s="1320"/>
      <c r="P7" s="1320"/>
      <c r="Q7" s="1320"/>
      <c r="R7" s="1320"/>
      <c r="S7" s="1320"/>
      <c r="T7" s="1320"/>
      <c r="U7" s="1320"/>
      <c r="V7" s="1320"/>
      <c r="W7" s="1320"/>
    </row>
    <row r="8" spans="1:23" s="1285" customFormat="1" ht="15">
      <c r="A8" s="287"/>
      <c r="B8" s="1321" t="s">
        <v>531</v>
      </c>
      <c r="C8" s="1321"/>
      <c r="D8" s="1321"/>
      <c r="E8" s="1321"/>
      <c r="F8" s="1321"/>
      <c r="G8" s="1321"/>
      <c r="H8" s="1321"/>
      <c r="I8" s="1321"/>
      <c r="J8" s="1321"/>
      <c r="K8" s="1321"/>
      <c r="L8" s="1321"/>
      <c r="M8" s="1321"/>
      <c r="N8" s="1321"/>
      <c r="O8" s="1321"/>
      <c r="P8" s="1321"/>
      <c r="Q8" s="1321"/>
      <c r="R8" s="1321"/>
      <c r="S8" s="1321"/>
      <c r="T8" s="1321"/>
      <c r="U8" s="1321"/>
      <c r="V8" s="1321"/>
      <c r="W8" s="1321"/>
    </row>
    <row r="9" spans="1:23" s="1285" customFormat="1">
      <c r="A9" s="288"/>
      <c r="B9" s="1174"/>
      <c r="C9" s="3"/>
      <c r="D9" s="5"/>
      <c r="E9" s="15"/>
      <c r="F9" s="15"/>
      <c r="G9" s="15"/>
      <c r="H9" s="33"/>
      <c r="I9" s="33"/>
      <c r="J9" s="33"/>
      <c r="K9" s="15"/>
      <c r="L9" s="3"/>
      <c r="M9" s="15"/>
      <c r="N9" s="3"/>
      <c r="O9" s="3"/>
      <c r="P9" s="3"/>
      <c r="Q9" s="3"/>
      <c r="R9" s="3"/>
      <c r="S9" s="3"/>
      <c r="T9" s="3"/>
      <c r="U9" s="3"/>
    </row>
    <row r="10" spans="1:23" ht="65.25" customHeight="1">
      <c r="A10" s="1287" t="s">
        <v>1057</v>
      </c>
      <c r="B10" s="1161" t="s">
        <v>797</v>
      </c>
      <c r="C10" s="1161" t="str">
        <f>+'Ingresos Proyecciones'!C9</f>
        <v>Escenario Financiero Año 2002</v>
      </c>
      <c r="D10" s="1161" t="str">
        <f>+'Ingresos Proyecciones'!D9</f>
        <v>Escenario Financiero Año 2003</v>
      </c>
      <c r="E10" s="1161" t="str">
        <f>+'Ingresos Proyecciones'!E9</f>
        <v>Escenario Financiero Año 2004</v>
      </c>
      <c r="F10" s="1161" t="str">
        <f>+'Ingresos Proyecciones'!F9</f>
        <v>Escenario Financiero Año 2005</v>
      </c>
      <c r="G10" s="1161" t="str">
        <f>+'Ingresos Proyecciones'!G9</f>
        <v>Escenario Financiero Año 2006</v>
      </c>
      <c r="H10" s="1161" t="str">
        <f>+'Ingresos Proyecciones'!H9</f>
        <v>Escenario Financiero Año 2007</v>
      </c>
      <c r="I10" s="1161" t="str">
        <f>+'Ingresos Proyecciones'!I9</f>
        <v>Escenario Financiero Año 2008</v>
      </c>
      <c r="J10" s="1161" t="str">
        <f>+'Ingresos Proyecciones'!J9</f>
        <v>Escenario Financiero Año 2009</v>
      </c>
      <c r="K10" s="1161" t="str">
        <f>+'Ingresos Proyecciones'!K9</f>
        <v>Escenario Financiero Año 2010</v>
      </c>
      <c r="L10" s="1161" t="str">
        <f>+'Ingresos Proyecciones'!L9</f>
        <v>Escenario Financiero Año 2011</v>
      </c>
      <c r="M10" s="1161" t="str">
        <f>+'Ingresos Proyecciones'!M9</f>
        <v>Escenario Financiero Año 2012</v>
      </c>
      <c r="N10" s="1161" t="str">
        <f>+'Ingresos Proyecciones'!N9</f>
        <v>Escenario Financiero Año 2013</v>
      </c>
      <c r="O10" s="1161" t="str">
        <f>+'Ingresos Proyecciones'!O9</f>
        <v>Escenario Financiero Año 2014</v>
      </c>
      <c r="P10" s="1161" t="str">
        <f>+'Ingresos Proyecciones'!P9</f>
        <v>Escenario Financiero Año 2015</v>
      </c>
      <c r="Q10" s="1161" t="str">
        <f>+'Ingresos Proyecciones'!Q9</f>
        <v>Escenario Financiero Año 2016</v>
      </c>
      <c r="R10" s="1161" t="str">
        <f>+'Ingresos Proyecciones'!R9</f>
        <v>Escenario Financiero Año 2017</v>
      </c>
      <c r="S10" s="1161" t="str">
        <f>+'Ingresos Proyecciones'!S9</f>
        <v>Escenario Financiero Año 2018</v>
      </c>
      <c r="T10" s="1161" t="str">
        <f>+'Ingresos Proyecciones'!T9</f>
        <v>Escenario Financiero Año 2019</v>
      </c>
      <c r="U10" s="1161" t="str">
        <f>+'Ingresos Proyecciones'!U9</f>
        <v>Escenario Financiero Año 2020</v>
      </c>
      <c r="V10" s="1161" t="str">
        <f>+'Ingresos Proyecciones'!V9</f>
        <v>Escenario Financiero Año 2021</v>
      </c>
      <c r="W10" s="1161" t="str">
        <f>+'Ingresos Proyecciones'!W9</f>
        <v>Escenario Financiero Año 2022</v>
      </c>
    </row>
    <row r="11" spans="1:23">
      <c r="A11" s="285"/>
      <c r="B11" s="1161"/>
      <c r="C11" s="1161"/>
      <c r="D11" s="1161"/>
      <c r="E11" s="1161"/>
      <c r="F11" s="1161"/>
      <c r="G11" s="1161"/>
      <c r="H11" s="1161"/>
      <c r="I11" s="1161"/>
      <c r="J11" s="1161"/>
      <c r="K11" s="1161"/>
      <c r="L11" s="1161"/>
      <c r="M11" s="1161"/>
      <c r="N11" s="1161"/>
      <c r="O11" s="1161"/>
      <c r="P11" s="1161"/>
      <c r="Q11" s="1161"/>
      <c r="R11" s="1161"/>
      <c r="S11" s="1161"/>
      <c r="T11" s="1161"/>
      <c r="U11" s="1161"/>
      <c r="V11" s="1161"/>
      <c r="W11" s="1161"/>
    </row>
    <row r="12" spans="1:23" ht="13.5" customHeight="1" thickBot="1">
      <c r="A12" s="286"/>
      <c r="B12" s="1161"/>
      <c r="C12" s="1161"/>
      <c r="D12" s="1161"/>
      <c r="E12" s="1161"/>
      <c r="F12" s="1161"/>
      <c r="G12" s="1161"/>
      <c r="H12" s="1161"/>
      <c r="I12" s="1161"/>
      <c r="J12" s="1161"/>
      <c r="K12" s="1166"/>
      <c r="L12" s="1166"/>
      <c r="M12" s="1166"/>
      <c r="N12" s="1166"/>
      <c r="O12" s="1166"/>
      <c r="P12" s="1166"/>
      <c r="Q12" s="1166"/>
      <c r="R12" s="1166"/>
      <c r="S12" s="1166"/>
      <c r="T12" s="1166"/>
      <c r="U12" s="1166"/>
      <c r="V12" s="1166"/>
      <c r="W12" s="1166"/>
    </row>
    <row r="13" spans="1:23">
      <c r="A13" s="84" t="str">
        <f>+Gastos!A25</f>
        <v>2</v>
      </c>
      <c r="B13" s="1175" t="str">
        <f>+Gastos!C25</f>
        <v>GASTOS</v>
      </c>
      <c r="C13" s="1162" t="e">
        <f>+C14+C55+C182+C187+C195</f>
        <v>#REF!</v>
      </c>
      <c r="D13" s="1162" t="e">
        <f>+D14+D55+D182+D187+D195</f>
        <v>#REF!</v>
      </c>
      <c r="E13" s="1162" t="e">
        <f>+E14+E55+E182+E187+E195</f>
        <v>#REF!</v>
      </c>
      <c r="F13" s="1162" t="e">
        <f>+F14+F55+F182+F187+F195</f>
        <v>#REF!</v>
      </c>
      <c r="G13" s="1162" t="e">
        <f>+G14+G55+G182+G187+G195</f>
        <v>#REF!</v>
      </c>
      <c r="H13" s="1162">
        <v>5400742</v>
      </c>
      <c r="I13" s="1162">
        <f>+I14+I55</f>
        <v>5741239</v>
      </c>
      <c r="J13" s="1162">
        <f t="shared" ref="J13:P13" si="0">+J14+J55</f>
        <v>5672106.6319999993</v>
      </c>
      <c r="K13" s="1162">
        <f t="shared" si="0"/>
        <v>5898991.8572799992</v>
      </c>
      <c r="L13" s="1162">
        <f t="shared" si="0"/>
        <v>6134951.1880192012</v>
      </c>
      <c r="M13" s="1162">
        <f>+M14+M55</f>
        <v>6428348.7343559684</v>
      </c>
      <c r="N13" s="1162">
        <f>+N14+N55</f>
        <v>6685482.6837302074</v>
      </c>
      <c r="O13" s="1162">
        <f t="shared" si="0"/>
        <v>6952901.9910794171</v>
      </c>
      <c r="P13" s="1162">
        <f t="shared" si="0"/>
        <v>7231018.070722593</v>
      </c>
      <c r="Q13" s="1162">
        <f t="shared" ref="Q13:V13" si="1">+Q14+Q55</f>
        <v>7520258.7935514972</v>
      </c>
      <c r="R13" s="1162">
        <f t="shared" si="1"/>
        <v>7821069.1452935571</v>
      </c>
      <c r="S13" s="1162">
        <f t="shared" si="1"/>
        <v>8133911.9111052994</v>
      </c>
      <c r="T13" s="1162">
        <f t="shared" si="1"/>
        <v>8459268.3875495121</v>
      </c>
      <c r="U13" s="1162">
        <f t="shared" si="1"/>
        <v>8797639.1230514906</v>
      </c>
      <c r="V13" s="1162">
        <f t="shared" si="1"/>
        <v>9149544.6879735515</v>
      </c>
      <c r="W13" s="1162">
        <f>+W14+W55</f>
        <v>9515525.4754924942</v>
      </c>
    </row>
    <row r="14" spans="1:23">
      <c r="A14" s="47" t="str">
        <f>+Gastos!A26</f>
        <v>21</v>
      </c>
      <c r="B14" s="1176" t="str">
        <f>+Gastos!C26</f>
        <v xml:space="preserve"> GASTOS DE FUNCIONAMIENTO</v>
      </c>
      <c r="C14" s="1162">
        <f>+C16+C26+C29+C52</f>
        <v>0</v>
      </c>
      <c r="D14" s="1162">
        <f>+D16+D26+D29+D52</f>
        <v>0</v>
      </c>
      <c r="E14" s="1162">
        <f>+E16+E26+E29+E52</f>
        <v>0</v>
      </c>
      <c r="F14" s="1162">
        <f>+F16+F26+F29+F52</f>
        <v>653152</v>
      </c>
      <c r="G14" s="1162">
        <f>+G16+G26+G29+G52</f>
        <v>673079.08000000007</v>
      </c>
      <c r="H14" s="1162">
        <v>512963</v>
      </c>
      <c r="I14" s="1162">
        <f>+I15+I187</f>
        <v>749625</v>
      </c>
      <c r="J14" s="1162">
        <f>+J15+J187</f>
        <v>617006.91999999993</v>
      </c>
      <c r="K14" s="1162">
        <f t="shared" ref="K14:P14" si="2">+K15+K187</f>
        <v>640648.1568</v>
      </c>
      <c r="L14" s="1162">
        <f t="shared" si="2"/>
        <v>666274.02752</v>
      </c>
      <c r="M14" s="1162">
        <f>+M15+M187</f>
        <v>711524.18862079992</v>
      </c>
      <c r="N14" s="1162">
        <f t="shared" si="2"/>
        <v>739985.15616563195</v>
      </c>
      <c r="O14" s="1162">
        <f t="shared" si="2"/>
        <v>769584.56241225731</v>
      </c>
      <c r="P14" s="1162">
        <f t="shared" si="2"/>
        <v>800367.94490874768</v>
      </c>
      <c r="Q14" s="1162">
        <f t="shared" ref="Q14:V14" si="3">+Q15+Q187</f>
        <v>832382.66270509758</v>
      </c>
      <c r="R14" s="1162">
        <f t="shared" si="3"/>
        <v>865677.96921330155</v>
      </c>
      <c r="S14" s="1162">
        <f t="shared" si="3"/>
        <v>900305.08798183361</v>
      </c>
      <c r="T14" s="1162">
        <f t="shared" si="3"/>
        <v>936317.29150110716</v>
      </c>
      <c r="U14" s="1162">
        <f t="shared" si="3"/>
        <v>973769.98316115129</v>
      </c>
      <c r="V14" s="1162">
        <f t="shared" si="3"/>
        <v>1012720.7824875974</v>
      </c>
      <c r="W14" s="1162">
        <f>+W15+W187</f>
        <v>1053228.6137871016</v>
      </c>
    </row>
    <row r="15" spans="1:23">
      <c r="A15" s="47"/>
      <c r="B15" s="1176" t="s">
        <v>654</v>
      </c>
      <c r="C15" s="1162"/>
      <c r="D15" s="1162"/>
      <c r="E15" s="1162"/>
      <c r="F15" s="1162"/>
      <c r="G15" s="1162"/>
      <c r="H15" s="1162"/>
      <c r="I15" s="1162">
        <f>+I16+I26+I29</f>
        <v>592522</v>
      </c>
      <c r="J15" s="1162">
        <f t="shared" ref="J15:P15" si="4">+J16+J26+J29</f>
        <v>453619.8</v>
      </c>
      <c r="K15" s="1162">
        <f t="shared" si="4"/>
        <v>470725.55200000003</v>
      </c>
      <c r="L15" s="1162">
        <f t="shared" si="4"/>
        <v>471096</v>
      </c>
      <c r="M15" s="1162">
        <f t="shared" si="4"/>
        <v>508539.04</v>
      </c>
      <c r="N15" s="1162">
        <f t="shared" si="4"/>
        <v>528880.60159999994</v>
      </c>
      <c r="O15" s="1162">
        <f t="shared" si="4"/>
        <v>550035.825664</v>
      </c>
      <c r="P15" s="1162">
        <f t="shared" si="4"/>
        <v>572037.25869056</v>
      </c>
      <c r="Q15" s="1162">
        <f t="shared" ref="Q15:V15" si="5">+Q16+Q26+Q29</f>
        <v>594918.74903818243</v>
      </c>
      <c r="R15" s="1162">
        <f t="shared" si="5"/>
        <v>618715.49899970985</v>
      </c>
      <c r="S15" s="1162">
        <f t="shared" si="5"/>
        <v>643464.11895969813</v>
      </c>
      <c r="T15" s="1162">
        <f t="shared" si="5"/>
        <v>669202.68371808622</v>
      </c>
      <c r="U15" s="1162">
        <f t="shared" si="5"/>
        <v>695970.79106680956</v>
      </c>
      <c r="V15" s="1162">
        <f t="shared" si="5"/>
        <v>723809.62270948198</v>
      </c>
      <c r="W15" s="1162">
        <f>+W16+W26+W29</f>
        <v>752761.00761786138</v>
      </c>
    </row>
    <row r="16" spans="1:23">
      <c r="A16" s="47" t="str">
        <f>+Gastos!A27</f>
        <v>211</v>
      </c>
      <c r="B16" s="1176" t="str">
        <f>+Gastos!C27</f>
        <v xml:space="preserve">  GASTOS DE PERSONAL</v>
      </c>
      <c r="C16" s="1162">
        <f>+C17+C18+C20</f>
        <v>0</v>
      </c>
      <c r="D16" s="1162">
        <f>+D17+D18+D20</f>
        <v>0</v>
      </c>
      <c r="E16" s="1162">
        <f>+E17+E18+E20</f>
        <v>0</v>
      </c>
      <c r="F16" s="1162">
        <f>+F17+F18+F20</f>
        <v>292139</v>
      </c>
      <c r="G16" s="1162">
        <f>+G17+G18+G20</f>
        <v>303824.56</v>
      </c>
      <c r="H16" s="1162">
        <v>248511</v>
      </c>
      <c r="I16" s="1162">
        <f>+I17+I18+I20</f>
        <v>382218</v>
      </c>
      <c r="J16" s="1162">
        <f t="shared" ref="J16:P16" si="6">+J17+J18+J20</f>
        <v>242151</v>
      </c>
      <c r="K16" s="1162">
        <f t="shared" si="6"/>
        <v>250798</v>
      </c>
      <c r="L16" s="1162">
        <f t="shared" si="6"/>
        <v>302601</v>
      </c>
      <c r="M16" s="1162">
        <f t="shared" si="6"/>
        <v>333304.24</v>
      </c>
      <c r="N16" s="1162">
        <f t="shared" si="6"/>
        <v>346636.40959999996</v>
      </c>
      <c r="O16" s="1162">
        <f t="shared" si="6"/>
        <v>360501.86598400003</v>
      </c>
      <c r="P16" s="1162">
        <f t="shared" si="6"/>
        <v>374921.94062336005</v>
      </c>
      <c r="Q16" s="1162">
        <f t="shared" ref="Q16:V16" si="7">+Q17+Q18+Q20</f>
        <v>389918.81824829447</v>
      </c>
      <c r="R16" s="1162">
        <f t="shared" si="7"/>
        <v>405515.57097822626</v>
      </c>
      <c r="S16" s="1162">
        <f t="shared" si="7"/>
        <v>421736.19381735526</v>
      </c>
      <c r="T16" s="1162">
        <f t="shared" si="7"/>
        <v>438605.64157004951</v>
      </c>
      <c r="U16" s="1162">
        <f t="shared" si="7"/>
        <v>456149.86723285151</v>
      </c>
      <c r="V16" s="1162">
        <f t="shared" si="7"/>
        <v>474395.86192216561</v>
      </c>
      <c r="W16" s="1162">
        <f>+W17+W18+W20</f>
        <v>493370.69639905228</v>
      </c>
    </row>
    <row r="17" spans="1:23">
      <c r="A17" s="47" t="str">
        <f>+Gastos!A28</f>
        <v>21101</v>
      </c>
      <c r="B17" s="1177" t="str">
        <f>+Gastos!C28</f>
        <v xml:space="preserve">   Servicios Personales Asociados a la Nómina</v>
      </c>
      <c r="C17" s="1163"/>
      <c r="D17" s="1163"/>
      <c r="E17" s="1163">
        <v>0</v>
      </c>
      <c r="F17" s="1163">
        <f>140400+11840</f>
        <v>152240</v>
      </c>
      <c r="G17" s="1163">
        <f>+F17*1.04</f>
        <v>158329.60000000001</v>
      </c>
      <c r="H17" s="1163">
        <v>150000</v>
      </c>
      <c r="I17" s="1163">
        <f>180000+50036+562</f>
        <v>230598</v>
      </c>
      <c r="J17" s="1163">
        <v>137651</v>
      </c>
      <c r="K17" s="1163">
        <v>142118</v>
      </c>
      <c r="L17" s="1163">
        <v>164820</v>
      </c>
      <c r="M17" s="1163">
        <v>185012</v>
      </c>
      <c r="N17" s="1163">
        <f t="shared" ref="N17:U17" si="8">+M17*1.04</f>
        <v>192412.48</v>
      </c>
      <c r="O17" s="1163">
        <f t="shared" si="8"/>
        <v>200108.97920000003</v>
      </c>
      <c r="P17" s="1163">
        <f t="shared" si="8"/>
        <v>208113.33836800003</v>
      </c>
      <c r="Q17" s="1163">
        <f t="shared" si="8"/>
        <v>216437.87190272004</v>
      </c>
      <c r="R17" s="1163">
        <f t="shared" si="8"/>
        <v>225095.38677882886</v>
      </c>
      <c r="S17" s="1163">
        <f t="shared" si="8"/>
        <v>234099.20224998202</v>
      </c>
      <c r="T17" s="1163">
        <f t="shared" si="8"/>
        <v>243463.1703399813</v>
      </c>
      <c r="U17" s="1163">
        <f t="shared" si="8"/>
        <v>253201.69715358055</v>
      </c>
      <c r="V17" s="1163">
        <f>+U17*1.04</f>
        <v>263329.76503972377</v>
      </c>
      <c r="W17" s="1163">
        <f>+V17*1.04-1</f>
        <v>273861.95564131276</v>
      </c>
    </row>
    <row r="18" spans="1:23">
      <c r="A18" s="47" t="str">
        <f>+Gastos!A29</f>
        <v>21102</v>
      </c>
      <c r="B18" s="1176" t="str">
        <f>+Gastos!C29</f>
        <v xml:space="preserve">   Servicios Personales Indirectos</v>
      </c>
      <c r="C18" s="1162">
        <f>SUM(C19:C19)</f>
        <v>0</v>
      </c>
      <c r="D18" s="1162">
        <f>SUM(D19:D19)</f>
        <v>0</v>
      </c>
      <c r="E18" s="1162">
        <f>SUM(E19:E19)</f>
        <v>0</v>
      </c>
      <c r="F18" s="1162">
        <f>SUM(F19:F19)</f>
        <v>91959</v>
      </c>
      <c r="G18" s="1162">
        <f>SUM(G19:G19)</f>
        <v>95637.36</v>
      </c>
      <c r="H18" s="1162">
        <v>54790</v>
      </c>
      <c r="I18" s="1162">
        <f>SUM(I19:I19)</f>
        <v>97120</v>
      </c>
      <c r="J18" s="1162">
        <f t="shared" ref="J18:W18" si="9">SUM(J19:J19)</f>
        <v>50000</v>
      </c>
      <c r="K18" s="1162">
        <f t="shared" si="9"/>
        <v>52000</v>
      </c>
      <c r="L18" s="1162">
        <f t="shared" si="9"/>
        <v>100000</v>
      </c>
      <c r="M18" s="1162">
        <f t="shared" si="9"/>
        <v>109000</v>
      </c>
      <c r="N18" s="1162">
        <f t="shared" si="9"/>
        <v>113360</v>
      </c>
      <c r="O18" s="1162">
        <f t="shared" si="9"/>
        <v>117894.40000000001</v>
      </c>
      <c r="P18" s="1162">
        <f t="shared" si="9"/>
        <v>122610.17600000001</v>
      </c>
      <c r="Q18" s="1162">
        <f t="shared" si="9"/>
        <v>127514.58304000001</v>
      </c>
      <c r="R18" s="1162">
        <f t="shared" si="9"/>
        <v>132615.16636160002</v>
      </c>
      <c r="S18" s="1162">
        <f t="shared" si="9"/>
        <v>137919.77301606402</v>
      </c>
      <c r="T18" s="1162">
        <f t="shared" si="9"/>
        <v>143436.56393670657</v>
      </c>
      <c r="U18" s="1162">
        <f t="shared" si="9"/>
        <v>149174.02649417485</v>
      </c>
      <c r="V18" s="1162">
        <f t="shared" si="9"/>
        <v>155140.98755394184</v>
      </c>
      <c r="W18" s="1162">
        <f t="shared" si="9"/>
        <v>161346.62705609953</v>
      </c>
    </row>
    <row r="19" spans="1:23">
      <c r="A19" s="53" t="str">
        <f>+Gastos!A34</f>
        <v>2110298</v>
      </c>
      <c r="B19" s="1177" t="str">
        <f>+Gastos!C34</f>
        <v xml:space="preserve">      Prestacion de servicios</v>
      </c>
      <c r="C19" s="1163"/>
      <c r="D19" s="1163"/>
      <c r="E19" s="1163">
        <v>0</v>
      </c>
      <c r="F19" s="1163">
        <v>91959</v>
      </c>
      <c r="G19" s="1163">
        <f>+F19*1.04</f>
        <v>95637.36</v>
      </c>
      <c r="H19" s="1163">
        <v>54790</v>
      </c>
      <c r="I19" s="1163">
        <v>97120</v>
      </c>
      <c r="J19" s="1163">
        <v>50000</v>
      </c>
      <c r="K19" s="1163">
        <f t="shared" ref="K19:U19" si="10">+J19*1.04</f>
        <v>52000</v>
      </c>
      <c r="L19" s="1163">
        <v>100000</v>
      </c>
      <c r="M19" s="1163">
        <v>109000</v>
      </c>
      <c r="N19" s="1163">
        <f t="shared" si="10"/>
        <v>113360</v>
      </c>
      <c r="O19" s="1163">
        <f t="shared" si="10"/>
        <v>117894.40000000001</v>
      </c>
      <c r="P19" s="1163">
        <f t="shared" si="10"/>
        <v>122610.17600000001</v>
      </c>
      <c r="Q19" s="1163">
        <f t="shared" si="10"/>
        <v>127514.58304000001</v>
      </c>
      <c r="R19" s="1163">
        <f t="shared" si="10"/>
        <v>132615.16636160002</v>
      </c>
      <c r="S19" s="1163">
        <f t="shared" si="10"/>
        <v>137919.77301606402</v>
      </c>
      <c r="T19" s="1163">
        <f t="shared" si="10"/>
        <v>143436.56393670657</v>
      </c>
      <c r="U19" s="1163">
        <f t="shared" si="10"/>
        <v>149174.02649417485</v>
      </c>
      <c r="V19" s="1163">
        <f>+U19*1.04</f>
        <v>155140.98755394184</v>
      </c>
      <c r="W19" s="1163">
        <f>+V19*1.04</f>
        <v>161346.62705609953</v>
      </c>
    </row>
    <row r="20" spans="1:23">
      <c r="A20" s="47" t="str">
        <f>+Gastos!A35</f>
        <v>21103</v>
      </c>
      <c r="B20" s="1176" t="str">
        <f>+Gastos!C35</f>
        <v xml:space="preserve">   Contribuciones Inherentes a la Nómina</v>
      </c>
      <c r="C20" s="1162">
        <f>+C21+C23</f>
        <v>0</v>
      </c>
      <c r="D20" s="1162">
        <f>+D21+D23</f>
        <v>0</v>
      </c>
      <c r="E20" s="1162">
        <f>+E21+E23</f>
        <v>0</v>
      </c>
      <c r="F20" s="1162">
        <f>+F21+F23</f>
        <v>47940</v>
      </c>
      <c r="G20" s="1162">
        <f>+G21+G23</f>
        <v>49857.599999999999</v>
      </c>
      <c r="H20" s="1162">
        <v>43721</v>
      </c>
      <c r="I20" s="1162">
        <f>+I21+I23</f>
        <v>54500</v>
      </c>
      <c r="J20" s="1162">
        <f t="shared" ref="J20:P20" si="11">+J21+J23</f>
        <v>54500</v>
      </c>
      <c r="K20" s="1162">
        <f t="shared" si="11"/>
        <v>56680</v>
      </c>
      <c r="L20" s="1162">
        <f t="shared" si="11"/>
        <v>37781</v>
      </c>
      <c r="M20" s="1162">
        <f t="shared" si="11"/>
        <v>39292.239999999998</v>
      </c>
      <c r="N20" s="1162">
        <f t="shared" si="11"/>
        <v>40863.929599999996</v>
      </c>
      <c r="O20" s="1162">
        <f t="shared" si="11"/>
        <v>42498.486784000001</v>
      </c>
      <c r="P20" s="1162">
        <f t="shared" si="11"/>
        <v>44198.426255359998</v>
      </c>
      <c r="Q20" s="1162">
        <f t="shared" ref="Q20:V20" si="12">+Q21+Q23</f>
        <v>45966.363305574407</v>
      </c>
      <c r="R20" s="1162">
        <f t="shared" si="12"/>
        <v>47805.017837797379</v>
      </c>
      <c r="S20" s="1162">
        <f t="shared" si="12"/>
        <v>49717.218551309277</v>
      </c>
      <c r="T20" s="1162">
        <f t="shared" si="12"/>
        <v>51705.907293361655</v>
      </c>
      <c r="U20" s="1162">
        <f t="shared" si="12"/>
        <v>53774.143585096128</v>
      </c>
      <c r="V20" s="1162">
        <f t="shared" si="12"/>
        <v>55925.109328499973</v>
      </c>
      <c r="W20" s="1162">
        <f>+W21+W23</f>
        <v>58162.113701639966</v>
      </c>
    </row>
    <row r="21" spans="1:23">
      <c r="A21" s="47" t="str">
        <f>+Gastos!A36</f>
        <v>2110301</v>
      </c>
      <c r="B21" s="1176" t="str">
        <f>+Gastos!C36</f>
        <v xml:space="preserve">      Al Sector Público</v>
      </c>
      <c r="C21" s="1162">
        <f>SUM(C22:C22)</f>
        <v>0</v>
      </c>
      <c r="D21" s="1162">
        <f>SUM(D22:D22)</f>
        <v>0</v>
      </c>
      <c r="E21" s="1162">
        <f>SUM(E22:E22)</f>
        <v>0</v>
      </c>
      <c r="F21" s="1162">
        <f>SUM(F22:F22)</f>
        <v>900</v>
      </c>
      <c r="G21" s="1162">
        <f>SUM(G22:G22)</f>
        <v>936</v>
      </c>
      <c r="H21" s="1162">
        <v>783</v>
      </c>
      <c r="I21" s="1162">
        <f>SUM(I22:I22)</f>
        <v>1500</v>
      </c>
      <c r="J21" s="1162">
        <f t="shared" ref="J21:W21" si="13">SUM(J22:J22)</f>
        <v>1500</v>
      </c>
      <c r="K21" s="1162">
        <f t="shared" si="13"/>
        <v>1560</v>
      </c>
      <c r="L21" s="1162">
        <f t="shared" si="13"/>
        <v>680</v>
      </c>
      <c r="M21" s="1162">
        <f t="shared" si="13"/>
        <v>707.2</v>
      </c>
      <c r="N21" s="1162">
        <f t="shared" si="13"/>
        <v>735.48800000000006</v>
      </c>
      <c r="O21" s="1162">
        <f t="shared" si="13"/>
        <v>764.90752000000009</v>
      </c>
      <c r="P21" s="1162">
        <f t="shared" si="13"/>
        <v>795.50382080000009</v>
      </c>
      <c r="Q21" s="1162">
        <f t="shared" si="13"/>
        <v>827.32397363200016</v>
      </c>
      <c r="R21" s="1162">
        <f t="shared" si="13"/>
        <v>860.41693257728025</v>
      </c>
      <c r="S21" s="1162">
        <f t="shared" si="13"/>
        <v>894.83360988037145</v>
      </c>
      <c r="T21" s="1162">
        <f t="shared" si="13"/>
        <v>930.6269542755864</v>
      </c>
      <c r="U21" s="1162">
        <f t="shared" si="13"/>
        <v>967.85203244660988</v>
      </c>
      <c r="V21" s="1162">
        <f t="shared" si="13"/>
        <v>1006.5661137444744</v>
      </c>
      <c r="W21" s="1162">
        <f t="shared" si="13"/>
        <v>1046.8287582942535</v>
      </c>
    </row>
    <row r="22" spans="1:23">
      <c r="A22" s="53" t="str">
        <f>+Gastos!A37</f>
        <v>211030101</v>
      </c>
      <c r="B22" s="1177" t="str">
        <f>+Gastos!C37</f>
        <v xml:space="preserve">        Aportes Previsión Social (A.R.P)</v>
      </c>
      <c r="C22" s="1163"/>
      <c r="D22" s="1163"/>
      <c r="E22" s="1163">
        <v>0</v>
      </c>
      <c r="F22" s="1163">
        <v>900</v>
      </c>
      <c r="G22" s="1163">
        <f t="shared" ref="G22:P22" si="14">+F22*1.04</f>
        <v>936</v>
      </c>
      <c r="H22" s="1163">
        <v>783</v>
      </c>
      <c r="I22" s="1163">
        <v>1500</v>
      </c>
      <c r="J22" s="1163">
        <v>1500</v>
      </c>
      <c r="K22" s="1163">
        <f t="shared" si="14"/>
        <v>1560</v>
      </c>
      <c r="L22" s="1163">
        <v>680</v>
      </c>
      <c r="M22" s="1163">
        <f t="shared" si="14"/>
        <v>707.2</v>
      </c>
      <c r="N22" s="1163">
        <f t="shared" si="14"/>
        <v>735.48800000000006</v>
      </c>
      <c r="O22" s="1163">
        <f t="shared" si="14"/>
        <v>764.90752000000009</v>
      </c>
      <c r="P22" s="1163">
        <f t="shared" si="14"/>
        <v>795.50382080000009</v>
      </c>
      <c r="Q22" s="1163">
        <f t="shared" ref="Q22:V22" si="15">+P22*1.04</f>
        <v>827.32397363200016</v>
      </c>
      <c r="R22" s="1163">
        <f t="shared" si="15"/>
        <v>860.41693257728025</v>
      </c>
      <c r="S22" s="1163">
        <f t="shared" si="15"/>
        <v>894.83360988037145</v>
      </c>
      <c r="T22" s="1163">
        <f t="shared" si="15"/>
        <v>930.6269542755864</v>
      </c>
      <c r="U22" s="1163">
        <f t="shared" si="15"/>
        <v>967.85203244660988</v>
      </c>
      <c r="V22" s="1163">
        <f t="shared" si="15"/>
        <v>1006.5661137444744</v>
      </c>
      <c r="W22" s="1163">
        <f>+V22*1.04</f>
        <v>1046.8287582942535</v>
      </c>
    </row>
    <row r="23" spans="1:23">
      <c r="A23" s="47" t="str">
        <f>+Gastos!A39</f>
        <v>2110302</v>
      </c>
      <c r="B23" s="1176" t="str">
        <f>+Gastos!C39</f>
        <v xml:space="preserve">      Al Sector Privado</v>
      </c>
      <c r="C23" s="1162">
        <f>SUM(C24:C25)</f>
        <v>0</v>
      </c>
      <c r="D23" s="1162">
        <f>SUM(D24:D25)</f>
        <v>0</v>
      </c>
      <c r="E23" s="1162">
        <f>SUM(E24:E25)</f>
        <v>0</v>
      </c>
      <c r="F23" s="1162">
        <f>SUM(F24:F25)</f>
        <v>47040</v>
      </c>
      <c r="G23" s="1162">
        <f>SUM(G24:G25)</f>
        <v>48921.599999999999</v>
      </c>
      <c r="H23" s="1162">
        <v>42938</v>
      </c>
      <c r="I23" s="1162">
        <f>SUM(I24:I25)</f>
        <v>53000</v>
      </c>
      <c r="J23" s="1162">
        <f t="shared" ref="J23:P23" si="16">SUM(J24:J25)</f>
        <v>53000</v>
      </c>
      <c r="K23" s="1162">
        <f t="shared" si="16"/>
        <v>55120</v>
      </c>
      <c r="L23" s="1162">
        <f t="shared" si="16"/>
        <v>37101</v>
      </c>
      <c r="M23" s="1162">
        <f t="shared" si="16"/>
        <v>38585.040000000001</v>
      </c>
      <c r="N23" s="1162">
        <f t="shared" si="16"/>
        <v>40128.441599999998</v>
      </c>
      <c r="O23" s="1162">
        <f t="shared" si="16"/>
        <v>41733.579264</v>
      </c>
      <c r="P23" s="1162">
        <f t="shared" si="16"/>
        <v>43402.922434560001</v>
      </c>
      <c r="Q23" s="1162">
        <f t="shared" ref="Q23:V23" si="17">SUM(Q24:Q25)</f>
        <v>45139.039331942404</v>
      </c>
      <c r="R23" s="1162">
        <f t="shared" si="17"/>
        <v>46944.600905220097</v>
      </c>
      <c r="S23" s="1162">
        <f t="shared" si="17"/>
        <v>48822.384941428907</v>
      </c>
      <c r="T23" s="1162">
        <f t="shared" si="17"/>
        <v>50775.280339086072</v>
      </c>
      <c r="U23" s="1162">
        <f t="shared" si="17"/>
        <v>52806.29155264952</v>
      </c>
      <c r="V23" s="1162">
        <f t="shared" si="17"/>
        <v>54918.543214755497</v>
      </c>
      <c r="W23" s="1162">
        <f>SUM(W24:W25)</f>
        <v>57115.284943345716</v>
      </c>
    </row>
    <row r="24" spans="1:23">
      <c r="A24" s="53" t="str">
        <f>+Gastos!A40</f>
        <v>211030201</v>
      </c>
      <c r="B24" s="1177" t="str">
        <f>+Gastos!C40</f>
        <v xml:space="preserve">        Aportes Previsión Social (Salud y Pension)</v>
      </c>
      <c r="C24" s="1163"/>
      <c r="D24" s="1163"/>
      <c r="E24" s="1163"/>
      <c r="F24" s="1163">
        <f>18400+13500</f>
        <v>31900</v>
      </c>
      <c r="G24" s="1163">
        <f t="shared" ref="G24:P24" si="18">+F24*1.04</f>
        <v>33176</v>
      </c>
      <c r="H24" s="1163">
        <v>29438</v>
      </c>
      <c r="I24" s="1163">
        <v>35000</v>
      </c>
      <c r="J24" s="1163">
        <v>35000</v>
      </c>
      <c r="K24" s="1163">
        <f t="shared" si="18"/>
        <v>36400</v>
      </c>
      <c r="L24" s="1163">
        <v>25400</v>
      </c>
      <c r="M24" s="1163">
        <f t="shared" si="18"/>
        <v>26416</v>
      </c>
      <c r="N24" s="1163">
        <f t="shared" si="18"/>
        <v>27472.639999999999</v>
      </c>
      <c r="O24" s="1163">
        <f t="shared" si="18"/>
        <v>28571.545600000001</v>
      </c>
      <c r="P24" s="1163">
        <f t="shared" si="18"/>
        <v>29714.407424000001</v>
      </c>
      <c r="Q24" s="1163">
        <f t="shared" ref="Q24:U25" si="19">+P24*1.04</f>
        <v>30902.983720960001</v>
      </c>
      <c r="R24" s="1163">
        <f t="shared" si="19"/>
        <v>32139.103069798402</v>
      </c>
      <c r="S24" s="1163">
        <f t="shared" si="19"/>
        <v>33424.667192590343</v>
      </c>
      <c r="T24" s="1163">
        <f t="shared" si="19"/>
        <v>34761.653880293961</v>
      </c>
      <c r="U24" s="1163">
        <f t="shared" si="19"/>
        <v>36152.120035505723</v>
      </c>
      <c r="V24" s="1163">
        <f>+U24*1.04</f>
        <v>37598.20483692595</v>
      </c>
      <c r="W24" s="1163">
        <f>+V24*1.04</f>
        <v>39102.133030402991</v>
      </c>
    </row>
    <row r="25" spans="1:23">
      <c r="A25" s="53" t="str">
        <f>+Gastos!A41</f>
        <v>211030202</v>
      </c>
      <c r="B25" s="1177" t="str">
        <f>+Gastos!C41</f>
        <v xml:space="preserve">        Aportes Parafiscales (9%)</v>
      </c>
      <c r="C25" s="1163"/>
      <c r="D25" s="1163"/>
      <c r="E25" s="1163"/>
      <c r="F25" s="1163">
        <f>5030+6710+1700+850+850</f>
        <v>15140</v>
      </c>
      <c r="G25" s="1163">
        <f t="shared" ref="G25:P25" si="20">+F25*1.04</f>
        <v>15745.6</v>
      </c>
      <c r="H25" s="1163">
        <v>13500</v>
      </c>
      <c r="I25" s="1163">
        <v>18000</v>
      </c>
      <c r="J25" s="1163">
        <v>18000</v>
      </c>
      <c r="K25" s="1163">
        <f t="shared" si="20"/>
        <v>18720</v>
      </c>
      <c r="L25" s="1163">
        <v>11701</v>
      </c>
      <c r="M25" s="1163">
        <f t="shared" si="20"/>
        <v>12169.04</v>
      </c>
      <c r="N25" s="1163">
        <f t="shared" si="20"/>
        <v>12655.801600000001</v>
      </c>
      <c r="O25" s="1163">
        <f t="shared" si="20"/>
        <v>13162.033664</v>
      </c>
      <c r="P25" s="1163">
        <f t="shared" si="20"/>
        <v>13688.515010560001</v>
      </c>
      <c r="Q25" s="1163">
        <f t="shared" si="19"/>
        <v>14236.055610982401</v>
      </c>
      <c r="R25" s="1163">
        <f t="shared" si="19"/>
        <v>14805.497835421698</v>
      </c>
      <c r="S25" s="1163">
        <f t="shared" si="19"/>
        <v>15397.717748838566</v>
      </c>
      <c r="T25" s="1163">
        <f t="shared" si="19"/>
        <v>16013.626458792109</v>
      </c>
      <c r="U25" s="1163">
        <f t="shared" si="19"/>
        <v>16654.171517143794</v>
      </c>
      <c r="V25" s="1163">
        <f>+U25*1.04</f>
        <v>17320.338377829547</v>
      </c>
      <c r="W25" s="1163">
        <f>+V25*1.04</f>
        <v>18013.151912942729</v>
      </c>
    </row>
    <row r="26" spans="1:23">
      <c r="A26" s="47" t="str">
        <f>+Gastos!A42</f>
        <v>212</v>
      </c>
      <c r="B26" s="1176" t="str">
        <f>+Gastos!C42</f>
        <v xml:space="preserve">  GASTOS GENERALES</v>
      </c>
      <c r="C26" s="1162">
        <f>SUM(C27:C28)</f>
        <v>0</v>
      </c>
      <c r="D26" s="1162">
        <f>SUM(D27:D28)</f>
        <v>0</v>
      </c>
      <c r="E26" s="1162">
        <f>SUM(E27:E28)</f>
        <v>0</v>
      </c>
      <c r="F26" s="1162">
        <f>SUM(F27:F28)</f>
        <v>207300</v>
      </c>
      <c r="G26" s="1162">
        <f>SUM(G27:G28)</f>
        <v>209393</v>
      </c>
      <c r="H26" s="1162">
        <v>112000</v>
      </c>
      <c r="I26" s="1162">
        <f>SUM(I27:I28)</f>
        <v>93192</v>
      </c>
      <c r="J26" s="1162">
        <f t="shared" ref="J26:P26" si="21">SUM(J27:J28)</f>
        <v>93192</v>
      </c>
      <c r="K26" s="1162">
        <f t="shared" si="21"/>
        <v>96919.679999999993</v>
      </c>
      <c r="L26" s="1162">
        <f t="shared" si="21"/>
        <v>91500</v>
      </c>
      <c r="M26" s="1162">
        <f t="shared" si="21"/>
        <v>95160</v>
      </c>
      <c r="N26" s="1162">
        <f t="shared" si="21"/>
        <v>98966.399999999994</v>
      </c>
      <c r="O26" s="1162">
        <f t="shared" si="21"/>
        <v>102925.056</v>
      </c>
      <c r="P26" s="1162">
        <f t="shared" si="21"/>
        <v>107042.05824</v>
      </c>
      <c r="Q26" s="1162">
        <f t="shared" ref="Q26:V26" si="22">SUM(Q27:Q28)</f>
        <v>111323.74056959999</v>
      </c>
      <c r="R26" s="1162">
        <f t="shared" si="22"/>
        <v>115776.69019238401</v>
      </c>
      <c r="S26" s="1162">
        <f t="shared" si="22"/>
        <v>120407.75780007937</v>
      </c>
      <c r="T26" s="1162">
        <f t="shared" si="22"/>
        <v>125224.06811208255</v>
      </c>
      <c r="U26" s="1162">
        <f t="shared" si="22"/>
        <v>130233.03083656586</v>
      </c>
      <c r="V26" s="1162">
        <f t="shared" si="22"/>
        <v>135442.35207002849</v>
      </c>
      <c r="W26" s="1162">
        <f>SUM(W27:W28)</f>
        <v>140860.04615282963</v>
      </c>
    </row>
    <row r="27" spans="1:23">
      <c r="A27" s="53" t="str">
        <f>+Gastos!A43</f>
        <v>21201</v>
      </c>
      <c r="B27" s="1177" t="str">
        <f>+Gastos!C43</f>
        <v xml:space="preserve">    Adquisición de Bienes</v>
      </c>
      <c r="C27" s="1163"/>
      <c r="D27" s="1163"/>
      <c r="E27" s="1163">
        <v>0</v>
      </c>
      <c r="F27" s="1163">
        <f>26643+6000+10000+13657+1000</f>
        <v>57300</v>
      </c>
      <c r="G27" s="1163">
        <f t="shared" ref="G27:P27" si="23">+F27*1.04</f>
        <v>59592</v>
      </c>
      <c r="H27" s="1163">
        <v>20000</v>
      </c>
      <c r="I27" s="1163">
        <v>43192</v>
      </c>
      <c r="J27" s="1163">
        <v>43192</v>
      </c>
      <c r="K27" s="1163">
        <f t="shared" si="23"/>
        <v>44919.68</v>
      </c>
      <c r="L27" s="1163">
        <v>12000</v>
      </c>
      <c r="M27" s="1163">
        <f t="shared" si="23"/>
        <v>12480</v>
      </c>
      <c r="N27" s="1163">
        <f t="shared" si="23"/>
        <v>12979.2</v>
      </c>
      <c r="O27" s="1163">
        <f t="shared" si="23"/>
        <v>13498.368</v>
      </c>
      <c r="P27" s="1163">
        <f t="shared" si="23"/>
        <v>14038.302720000002</v>
      </c>
      <c r="Q27" s="1163">
        <f t="shared" ref="Q27:U28" si="24">+P27*1.04</f>
        <v>14599.834828800002</v>
      </c>
      <c r="R27" s="1163">
        <f t="shared" si="24"/>
        <v>15183.828221952002</v>
      </c>
      <c r="S27" s="1163">
        <f t="shared" si="24"/>
        <v>15791.181350830084</v>
      </c>
      <c r="T27" s="1163">
        <f t="shared" si="24"/>
        <v>16422.828604863287</v>
      </c>
      <c r="U27" s="1163">
        <f t="shared" si="24"/>
        <v>17079.741749057819</v>
      </c>
      <c r="V27" s="1163">
        <f>+U27*1.04</f>
        <v>17762.931419020133</v>
      </c>
      <c r="W27" s="1163">
        <f>+V27*1.04</f>
        <v>18473.448675780939</v>
      </c>
    </row>
    <row r="28" spans="1:23">
      <c r="A28" s="53" t="str">
        <f>+Gastos!A44</f>
        <v>21202</v>
      </c>
      <c r="B28" s="1177" t="str">
        <f>+Gastos!C44</f>
        <v xml:space="preserve">    Adquisición de Servicios</v>
      </c>
      <c r="C28" s="1163"/>
      <c r="D28" s="1163"/>
      <c r="E28" s="1163">
        <v>0</v>
      </c>
      <c r="F28" s="1163">
        <f>3500+2000+2000+1500+35000+20000+1000+5000+15000+9200+21000+22300+11000+1000+500</f>
        <v>150000</v>
      </c>
      <c r="G28" s="1163">
        <f>+(F28*1.04)-6199</f>
        <v>149801</v>
      </c>
      <c r="H28" s="1163">
        <v>92000</v>
      </c>
      <c r="I28" s="1163">
        <v>50000</v>
      </c>
      <c r="J28" s="1163">
        <v>50000</v>
      </c>
      <c r="K28" s="1163">
        <f t="shared" ref="K28:P28" si="25">+J28*1.04</f>
        <v>52000</v>
      </c>
      <c r="L28" s="1163">
        <f>91500-12000</f>
        <v>79500</v>
      </c>
      <c r="M28" s="1163">
        <f t="shared" si="25"/>
        <v>82680</v>
      </c>
      <c r="N28" s="1163">
        <f t="shared" si="25"/>
        <v>85987.199999999997</v>
      </c>
      <c r="O28" s="1163">
        <f t="shared" si="25"/>
        <v>89426.687999999995</v>
      </c>
      <c r="P28" s="1163">
        <f t="shared" si="25"/>
        <v>93003.755519999992</v>
      </c>
      <c r="Q28" s="1163">
        <f t="shared" si="24"/>
        <v>96723.905740799994</v>
      </c>
      <c r="R28" s="1163">
        <f t="shared" si="24"/>
        <v>100592.861970432</v>
      </c>
      <c r="S28" s="1163">
        <f t="shared" si="24"/>
        <v>104616.57644924929</v>
      </c>
      <c r="T28" s="1163">
        <f t="shared" si="24"/>
        <v>108801.23950721926</v>
      </c>
      <c r="U28" s="1163">
        <f t="shared" si="24"/>
        <v>113153.28908750803</v>
      </c>
      <c r="V28" s="1163">
        <f>+U28*1.04</f>
        <v>117679.42065100836</v>
      </c>
      <c r="W28" s="1163">
        <f>+V28*1.04</f>
        <v>122386.59747704869</v>
      </c>
    </row>
    <row r="29" spans="1:23">
      <c r="A29" s="47" t="str">
        <f>+Gastos!A46</f>
        <v>213</v>
      </c>
      <c r="B29" s="1176" t="str">
        <f>+Gastos!C46</f>
        <v xml:space="preserve">  TRANSFERENCIAS</v>
      </c>
      <c r="C29" s="1164">
        <f>+C30+C41+C49+C50+C51+C47+C48</f>
        <v>0</v>
      </c>
      <c r="D29" s="1164">
        <f>+D30+D41+D49+D50+D51+D47+D48</f>
        <v>0</v>
      </c>
      <c r="E29" s="1164">
        <f>+E30+E41+E49+E50+E51+E47+E48</f>
        <v>0</v>
      </c>
      <c r="F29" s="1164">
        <f>+F30+F41+F49+F50+F51+F47+F48</f>
        <v>153713</v>
      </c>
      <c r="G29" s="1164">
        <f>+G30+G41+G49+G50+G51+G47+G48</f>
        <v>159861.52000000002</v>
      </c>
      <c r="H29" s="1164">
        <v>152452</v>
      </c>
      <c r="I29" s="1164">
        <f>+I30+I41+I49+I50+I51+I47+I48</f>
        <v>117112</v>
      </c>
      <c r="J29" s="1164">
        <f>+J30+J41+J49+J50+J51+J47+J48</f>
        <v>118276.8</v>
      </c>
      <c r="K29" s="1164">
        <f t="shared" ref="K29:P29" si="26">+K30+K41+K49+K50+K51+K47+K48</f>
        <v>123007.872</v>
      </c>
      <c r="L29" s="1164">
        <f t="shared" si="26"/>
        <v>76995</v>
      </c>
      <c r="M29" s="1164">
        <f t="shared" si="26"/>
        <v>80074.8</v>
      </c>
      <c r="N29" s="1164">
        <f t="shared" si="26"/>
        <v>83277.792000000016</v>
      </c>
      <c r="O29" s="1164">
        <f t="shared" si="26"/>
        <v>86608.903680000018</v>
      </c>
      <c r="P29" s="1164">
        <f t="shared" si="26"/>
        <v>90073.259827200003</v>
      </c>
      <c r="Q29" s="1164">
        <f t="shared" ref="Q29:V29" si="27">+Q30+Q41+Q49+Q50+Q51+Q47+Q48</f>
        <v>93676.190220288001</v>
      </c>
      <c r="R29" s="1164">
        <f t="shared" si="27"/>
        <v>97423.23782909954</v>
      </c>
      <c r="S29" s="1164">
        <f t="shared" si="27"/>
        <v>101320.16734226352</v>
      </c>
      <c r="T29" s="1164">
        <f t="shared" si="27"/>
        <v>105372.97403595406</v>
      </c>
      <c r="U29" s="1164">
        <f t="shared" si="27"/>
        <v>109587.89299739223</v>
      </c>
      <c r="V29" s="1164">
        <f t="shared" si="27"/>
        <v>113971.40871728792</v>
      </c>
      <c r="W29" s="1164">
        <f>+W30+W41+W49+W50+W51+W47+W48</f>
        <v>118530.26506597945</v>
      </c>
    </row>
    <row r="30" spans="1:23">
      <c r="A30" s="47" t="str">
        <f>+Gastos!A47</f>
        <v>21301</v>
      </c>
      <c r="B30" s="1176" t="str">
        <f>+Gastos!C47</f>
        <v xml:space="preserve">   Al Sector Público</v>
      </c>
      <c r="C30" s="1162">
        <f>+C31+C35</f>
        <v>0</v>
      </c>
      <c r="D30" s="1162">
        <f>+D31+D35</f>
        <v>0</v>
      </c>
      <c r="E30" s="1162">
        <f>+E31+E35</f>
        <v>0</v>
      </c>
      <c r="F30" s="1162">
        <f>+F31+F35</f>
        <v>51713</v>
      </c>
      <c r="G30" s="1162">
        <f>+G31+G35</f>
        <v>53781.520000000004</v>
      </c>
      <c r="H30" s="1162">
        <v>53250</v>
      </c>
      <c r="I30" s="1162">
        <f>+I31+I35</f>
        <v>20000</v>
      </c>
      <c r="J30" s="1162">
        <f t="shared" ref="J30:P30" si="28">+J31+J35</f>
        <v>20000</v>
      </c>
      <c r="K30" s="1162">
        <f t="shared" si="28"/>
        <v>20800</v>
      </c>
      <c r="L30" s="1162">
        <f t="shared" si="28"/>
        <v>10830</v>
      </c>
      <c r="M30" s="1162">
        <f t="shared" si="28"/>
        <v>11263.2</v>
      </c>
      <c r="N30" s="1162">
        <f t="shared" si="28"/>
        <v>11713.728000000001</v>
      </c>
      <c r="O30" s="1162">
        <f t="shared" si="28"/>
        <v>12182.277120000001</v>
      </c>
      <c r="P30" s="1162">
        <f t="shared" si="28"/>
        <v>12669.568204800002</v>
      </c>
      <c r="Q30" s="1162">
        <f t="shared" ref="Q30:V30" si="29">+Q31+Q35</f>
        <v>13176.350932992002</v>
      </c>
      <c r="R30" s="1162">
        <f t="shared" si="29"/>
        <v>13703.404970311682</v>
      </c>
      <c r="S30" s="1162">
        <f t="shared" si="29"/>
        <v>14251.54116912415</v>
      </c>
      <c r="T30" s="1162">
        <f t="shared" si="29"/>
        <v>14821.602815889117</v>
      </c>
      <c r="U30" s="1162">
        <f t="shared" si="29"/>
        <v>15414.466928524682</v>
      </c>
      <c r="V30" s="1162">
        <f t="shared" si="29"/>
        <v>16031.045605665669</v>
      </c>
      <c r="W30" s="1162">
        <f>+W31+W35</f>
        <v>16672.287429892298</v>
      </c>
    </row>
    <row r="31" spans="1:23">
      <c r="A31" s="54" t="str">
        <f>+Gastos!A48</f>
        <v>2130101</v>
      </c>
      <c r="B31" s="1176" t="str">
        <f>+Gastos!C48</f>
        <v xml:space="preserve">      Pagos de Previsión Social</v>
      </c>
      <c r="C31" s="1162">
        <f>SUM(C32:C34)</f>
        <v>0</v>
      </c>
      <c r="D31" s="1162">
        <f>SUM(D32:D34)</f>
        <v>0</v>
      </c>
      <c r="E31" s="1162">
        <f>SUM(E32:E34)</f>
        <v>0</v>
      </c>
      <c r="F31" s="1162">
        <f>SUM(F32:F34)</f>
        <v>51713</v>
      </c>
      <c r="G31" s="1162">
        <f>SUM(G32:G34)</f>
        <v>53781.520000000004</v>
      </c>
      <c r="H31" s="1162">
        <v>53250</v>
      </c>
      <c r="I31" s="1162">
        <f>SUM(I32:I34)</f>
        <v>20000</v>
      </c>
      <c r="J31" s="1162">
        <f t="shared" ref="J31:P31" si="30">SUM(J32:J34)</f>
        <v>20000</v>
      </c>
      <c r="K31" s="1162">
        <f t="shared" si="30"/>
        <v>20800</v>
      </c>
      <c r="L31" s="1162">
        <f t="shared" si="30"/>
        <v>10830</v>
      </c>
      <c r="M31" s="1162">
        <f t="shared" si="30"/>
        <v>11263.2</v>
      </c>
      <c r="N31" s="1162">
        <f t="shared" si="30"/>
        <v>11713.728000000001</v>
      </c>
      <c r="O31" s="1162">
        <f t="shared" si="30"/>
        <v>12182.277120000001</v>
      </c>
      <c r="P31" s="1162">
        <f t="shared" si="30"/>
        <v>12669.568204800002</v>
      </c>
      <c r="Q31" s="1162">
        <f t="shared" ref="Q31:V31" si="31">SUM(Q32:Q34)</f>
        <v>13176.350932992002</v>
      </c>
      <c r="R31" s="1162">
        <f t="shared" si="31"/>
        <v>13703.404970311682</v>
      </c>
      <c r="S31" s="1162">
        <f t="shared" si="31"/>
        <v>14251.54116912415</v>
      </c>
      <c r="T31" s="1162">
        <f t="shared" si="31"/>
        <v>14821.602815889117</v>
      </c>
      <c r="U31" s="1162">
        <f t="shared" si="31"/>
        <v>15414.466928524682</v>
      </c>
      <c r="V31" s="1162">
        <f t="shared" si="31"/>
        <v>16031.045605665669</v>
      </c>
      <c r="W31" s="1162">
        <f>SUM(W32:W34)</f>
        <v>16672.287429892298</v>
      </c>
    </row>
    <row r="32" spans="1:23">
      <c r="A32" s="53" t="str">
        <f>+Gastos!A49</f>
        <v>21301010101</v>
      </c>
      <c r="B32" s="1177" t="str">
        <f>+Gastos!C49</f>
        <v xml:space="preserve">          Cesantías (pagos directos)</v>
      </c>
      <c r="C32" s="1163"/>
      <c r="D32" s="1163"/>
      <c r="E32" s="1163">
        <v>0</v>
      </c>
      <c r="F32" s="1163">
        <f>11350</f>
        <v>11350</v>
      </c>
      <c r="G32" s="1163">
        <f t="shared" ref="G32:P32" si="32">+F32*1.04</f>
        <v>11804</v>
      </c>
      <c r="H32" s="1163">
        <v>12500</v>
      </c>
      <c r="I32" s="1163">
        <v>20000</v>
      </c>
      <c r="J32" s="1163">
        <v>20000</v>
      </c>
      <c r="K32" s="1163">
        <f t="shared" si="32"/>
        <v>20800</v>
      </c>
      <c r="L32" s="1163">
        <v>10830</v>
      </c>
      <c r="M32" s="1163">
        <f t="shared" si="32"/>
        <v>11263.2</v>
      </c>
      <c r="N32" s="1163">
        <f t="shared" si="32"/>
        <v>11713.728000000001</v>
      </c>
      <c r="O32" s="1163">
        <f t="shared" si="32"/>
        <v>12182.277120000001</v>
      </c>
      <c r="P32" s="1163">
        <f t="shared" si="32"/>
        <v>12669.568204800002</v>
      </c>
      <c r="Q32" s="1163">
        <f t="shared" ref="Q32:U34" si="33">+P32*1.04</f>
        <v>13176.350932992002</v>
      </c>
      <c r="R32" s="1163">
        <f t="shared" si="33"/>
        <v>13703.404970311682</v>
      </c>
      <c r="S32" s="1163">
        <f t="shared" si="33"/>
        <v>14251.54116912415</v>
      </c>
      <c r="T32" s="1163">
        <f t="shared" si="33"/>
        <v>14821.602815889117</v>
      </c>
      <c r="U32" s="1163">
        <f t="shared" si="33"/>
        <v>15414.466928524682</v>
      </c>
      <c r="V32" s="1163">
        <f t="shared" ref="V32:W34" si="34">+U32*1.04</f>
        <v>16031.045605665669</v>
      </c>
      <c r="W32" s="1163">
        <f t="shared" si="34"/>
        <v>16672.287429892298</v>
      </c>
    </row>
    <row r="33" spans="1:23" hidden="1">
      <c r="A33" s="53" t="str">
        <f>+Gastos!A50</f>
        <v>21301010102</v>
      </c>
      <c r="B33" s="1177" t="str">
        <f>+Gastos!C50</f>
        <v xml:space="preserve">          Pensiones (mesadas)</v>
      </c>
      <c r="C33" s="1163"/>
      <c r="D33" s="1163"/>
      <c r="E33" s="1163">
        <v>0</v>
      </c>
      <c r="F33" s="1163">
        <v>0</v>
      </c>
      <c r="G33" s="1163">
        <f t="shared" ref="G33:P33" si="35">+F33*1.04</f>
        <v>0</v>
      </c>
      <c r="H33" s="1163">
        <v>0</v>
      </c>
      <c r="I33" s="1163">
        <f t="shared" si="35"/>
        <v>0</v>
      </c>
      <c r="J33" s="1163">
        <f t="shared" si="35"/>
        <v>0</v>
      </c>
      <c r="K33" s="1163">
        <f t="shared" si="35"/>
        <v>0</v>
      </c>
      <c r="L33" s="1163">
        <f t="shared" si="35"/>
        <v>0</v>
      </c>
      <c r="M33" s="1163">
        <f t="shared" si="35"/>
        <v>0</v>
      </c>
      <c r="N33" s="1163">
        <f t="shared" si="35"/>
        <v>0</v>
      </c>
      <c r="O33" s="1163">
        <f t="shared" si="35"/>
        <v>0</v>
      </c>
      <c r="P33" s="1163">
        <f t="shared" si="35"/>
        <v>0</v>
      </c>
      <c r="Q33" s="1163">
        <f t="shared" si="33"/>
        <v>0</v>
      </c>
      <c r="R33" s="1163">
        <f t="shared" si="33"/>
        <v>0</v>
      </c>
      <c r="S33" s="1163">
        <f t="shared" si="33"/>
        <v>0</v>
      </c>
      <c r="T33" s="1163">
        <f t="shared" si="33"/>
        <v>0</v>
      </c>
      <c r="U33" s="1163">
        <f t="shared" si="33"/>
        <v>0</v>
      </c>
      <c r="V33" s="1163">
        <f t="shared" si="34"/>
        <v>0</v>
      </c>
      <c r="W33" s="1163">
        <f t="shared" si="34"/>
        <v>0</v>
      </c>
    </row>
    <row r="34" spans="1:23" hidden="1">
      <c r="A34" s="53" t="str">
        <f>+Gastos!A51</f>
        <v>21301010198</v>
      </c>
      <c r="B34" s="1177" t="str">
        <f>+Gastos!C51</f>
        <v xml:space="preserve">          Otras Prestaciones Sociales</v>
      </c>
      <c r="C34" s="1163"/>
      <c r="D34" s="1163"/>
      <c r="E34" s="1163">
        <v>0</v>
      </c>
      <c r="F34" s="1163">
        <f>11700+13650+13650+1363</f>
        <v>40363</v>
      </c>
      <c r="G34" s="1163">
        <f t="shared" ref="G34:P34" si="36">+F34*1.04</f>
        <v>41977.520000000004</v>
      </c>
      <c r="H34" s="1163">
        <v>40750</v>
      </c>
      <c r="I34" s="1163">
        <v>0</v>
      </c>
      <c r="J34" s="1163">
        <f t="shared" si="36"/>
        <v>0</v>
      </c>
      <c r="K34" s="1163">
        <f t="shared" si="36"/>
        <v>0</v>
      </c>
      <c r="L34" s="1163">
        <f t="shared" si="36"/>
        <v>0</v>
      </c>
      <c r="M34" s="1163">
        <f t="shared" si="36"/>
        <v>0</v>
      </c>
      <c r="N34" s="1163">
        <f t="shared" si="36"/>
        <v>0</v>
      </c>
      <c r="O34" s="1163">
        <f t="shared" si="36"/>
        <v>0</v>
      </c>
      <c r="P34" s="1163">
        <f t="shared" si="36"/>
        <v>0</v>
      </c>
      <c r="Q34" s="1163">
        <f t="shared" si="33"/>
        <v>0</v>
      </c>
      <c r="R34" s="1163">
        <f t="shared" si="33"/>
        <v>0</v>
      </c>
      <c r="S34" s="1163">
        <f t="shared" si="33"/>
        <v>0</v>
      </c>
      <c r="T34" s="1163">
        <f t="shared" si="33"/>
        <v>0</v>
      </c>
      <c r="U34" s="1163">
        <f t="shared" si="33"/>
        <v>0</v>
      </c>
      <c r="V34" s="1163">
        <f t="shared" si="34"/>
        <v>0</v>
      </c>
      <c r="W34" s="1163">
        <f t="shared" si="34"/>
        <v>0</v>
      </c>
    </row>
    <row r="35" spans="1:23" hidden="1">
      <c r="A35" s="53" t="str">
        <f>+Gastos!A52</f>
        <v>2130102</v>
      </c>
      <c r="B35" s="1176" t="str">
        <f>+Gastos!C52</f>
        <v xml:space="preserve">      Pagos a Otras Entidades del Sector Público</v>
      </c>
      <c r="C35" s="1164">
        <f>+C36+C37+C40+C38+C39</f>
        <v>0</v>
      </c>
      <c r="D35" s="1164">
        <f t="shared" ref="D35:P35" si="37">+D36+D37+D40+D38+D39</f>
        <v>0</v>
      </c>
      <c r="E35" s="1164">
        <f t="shared" si="37"/>
        <v>0</v>
      </c>
      <c r="F35" s="1164">
        <f>+F36+F37+F40+F38+F39</f>
        <v>0</v>
      </c>
      <c r="G35" s="1164">
        <f t="shared" si="37"/>
        <v>0</v>
      </c>
      <c r="H35" s="1164">
        <v>0</v>
      </c>
      <c r="I35" s="1164">
        <f t="shared" si="37"/>
        <v>0</v>
      </c>
      <c r="J35" s="1164">
        <f t="shared" si="37"/>
        <v>0</v>
      </c>
      <c r="K35" s="1164">
        <f t="shared" si="37"/>
        <v>0</v>
      </c>
      <c r="L35" s="1164">
        <f t="shared" si="37"/>
        <v>0</v>
      </c>
      <c r="M35" s="1164">
        <f t="shared" si="37"/>
        <v>0</v>
      </c>
      <c r="N35" s="1164">
        <f t="shared" si="37"/>
        <v>0</v>
      </c>
      <c r="O35" s="1164">
        <f t="shared" si="37"/>
        <v>0</v>
      </c>
      <c r="P35" s="1164">
        <f t="shared" si="37"/>
        <v>0</v>
      </c>
      <c r="Q35" s="1164">
        <f t="shared" ref="Q35:V35" si="38">+Q36+Q37+Q40+Q38+Q39</f>
        <v>0</v>
      </c>
      <c r="R35" s="1164">
        <f t="shared" si="38"/>
        <v>0</v>
      </c>
      <c r="S35" s="1164">
        <f t="shared" si="38"/>
        <v>0</v>
      </c>
      <c r="T35" s="1164">
        <f t="shared" si="38"/>
        <v>0</v>
      </c>
      <c r="U35" s="1164">
        <f t="shared" si="38"/>
        <v>0</v>
      </c>
      <c r="V35" s="1164">
        <f t="shared" si="38"/>
        <v>0</v>
      </c>
      <c r="W35" s="1164">
        <f>+W36+W37+W40+W38+W39</f>
        <v>0</v>
      </c>
    </row>
    <row r="36" spans="1:23" ht="22.5" hidden="1">
      <c r="A36" s="54" t="str">
        <f>+Gastos!A53</f>
        <v>213010201</v>
      </c>
      <c r="B36" s="1178" t="str">
        <f>+Gastos!C53</f>
        <v xml:space="preserve">        Al Nivel Nacional (10% del S.G.P.- Forz. Inv.- Art. 49-Ley 863/03)</v>
      </c>
      <c r="C36" s="1163"/>
      <c r="D36" s="1163"/>
      <c r="E36" s="1163"/>
      <c r="F36" s="1163"/>
      <c r="G36" s="1163">
        <f t="shared" ref="G36:P36" si="39">+F36*1.04</f>
        <v>0</v>
      </c>
      <c r="H36" s="1163">
        <v>0</v>
      </c>
      <c r="I36" s="1163">
        <f t="shared" si="39"/>
        <v>0</v>
      </c>
      <c r="J36" s="1163">
        <f t="shared" si="39"/>
        <v>0</v>
      </c>
      <c r="K36" s="1163">
        <f t="shared" si="39"/>
        <v>0</v>
      </c>
      <c r="L36" s="1163">
        <f t="shared" si="39"/>
        <v>0</v>
      </c>
      <c r="M36" s="1163">
        <f t="shared" si="39"/>
        <v>0</v>
      </c>
      <c r="N36" s="1163">
        <f t="shared" si="39"/>
        <v>0</v>
      </c>
      <c r="O36" s="1163">
        <f t="shared" si="39"/>
        <v>0</v>
      </c>
      <c r="P36" s="1163">
        <f t="shared" si="39"/>
        <v>0</v>
      </c>
      <c r="Q36" s="1163">
        <f t="shared" ref="Q36:U40" si="40">+P36*1.04</f>
        <v>0</v>
      </c>
      <c r="R36" s="1163">
        <f t="shared" si="40"/>
        <v>0</v>
      </c>
      <c r="S36" s="1163">
        <f t="shared" si="40"/>
        <v>0</v>
      </c>
      <c r="T36" s="1163">
        <f t="shared" si="40"/>
        <v>0</v>
      </c>
      <c r="U36" s="1163">
        <f t="shared" si="40"/>
        <v>0</v>
      </c>
      <c r="V36" s="1163">
        <f t="shared" ref="V36:W40" si="41">+U36*1.04</f>
        <v>0</v>
      </c>
      <c r="W36" s="1163">
        <f t="shared" si="41"/>
        <v>0</v>
      </c>
    </row>
    <row r="37" spans="1:23" hidden="1">
      <c r="A37" s="54" t="str">
        <f>+Gastos!A54</f>
        <v>213010202</v>
      </c>
      <c r="B37" s="1177" t="str">
        <f>+Gastos!C54</f>
        <v xml:space="preserve">        Departamento (Administración Central)</v>
      </c>
      <c r="C37" s="1163"/>
      <c r="D37" s="1163"/>
      <c r="E37" s="1163"/>
      <c r="F37" s="1163"/>
      <c r="G37" s="1163">
        <f t="shared" ref="G37:P37" si="42">+F37*1.04</f>
        <v>0</v>
      </c>
      <c r="H37" s="1163">
        <v>0</v>
      </c>
      <c r="I37" s="1163">
        <f t="shared" si="42"/>
        <v>0</v>
      </c>
      <c r="J37" s="1163">
        <f t="shared" si="42"/>
        <v>0</v>
      </c>
      <c r="K37" s="1163">
        <f t="shared" si="42"/>
        <v>0</v>
      </c>
      <c r="L37" s="1163">
        <f t="shared" si="42"/>
        <v>0</v>
      </c>
      <c r="M37" s="1163">
        <f t="shared" si="42"/>
        <v>0</v>
      </c>
      <c r="N37" s="1163">
        <f t="shared" si="42"/>
        <v>0</v>
      </c>
      <c r="O37" s="1163">
        <f t="shared" si="42"/>
        <v>0</v>
      </c>
      <c r="P37" s="1163">
        <f t="shared" si="42"/>
        <v>0</v>
      </c>
      <c r="Q37" s="1163">
        <f t="shared" si="40"/>
        <v>0</v>
      </c>
      <c r="R37" s="1163">
        <f t="shared" si="40"/>
        <v>0</v>
      </c>
      <c r="S37" s="1163">
        <f t="shared" si="40"/>
        <v>0</v>
      </c>
      <c r="T37" s="1163">
        <f t="shared" si="40"/>
        <v>0</v>
      </c>
      <c r="U37" s="1163">
        <f t="shared" si="40"/>
        <v>0</v>
      </c>
      <c r="V37" s="1163">
        <f t="shared" si="41"/>
        <v>0</v>
      </c>
      <c r="W37" s="1163">
        <f t="shared" si="41"/>
        <v>0</v>
      </c>
    </row>
    <row r="38" spans="1:23" hidden="1">
      <c r="A38" s="54" t="str">
        <f>+Gastos!A55</f>
        <v>213010203</v>
      </c>
      <c r="B38" s="1177" t="str">
        <f>+Gastos!C55</f>
        <v xml:space="preserve">        Distrito (Administración Central)</v>
      </c>
      <c r="C38" s="1163"/>
      <c r="D38" s="1163"/>
      <c r="E38" s="1163"/>
      <c r="F38" s="1163"/>
      <c r="G38" s="1163">
        <f t="shared" ref="G38:P38" si="43">+F38*1.04</f>
        <v>0</v>
      </c>
      <c r="H38" s="1163">
        <v>0</v>
      </c>
      <c r="I38" s="1163">
        <f t="shared" si="43"/>
        <v>0</v>
      </c>
      <c r="J38" s="1163">
        <f t="shared" si="43"/>
        <v>0</v>
      </c>
      <c r="K38" s="1163">
        <f t="shared" si="43"/>
        <v>0</v>
      </c>
      <c r="L38" s="1163">
        <f t="shared" si="43"/>
        <v>0</v>
      </c>
      <c r="M38" s="1163">
        <f t="shared" si="43"/>
        <v>0</v>
      </c>
      <c r="N38" s="1163">
        <f t="shared" si="43"/>
        <v>0</v>
      </c>
      <c r="O38" s="1163">
        <f t="shared" si="43"/>
        <v>0</v>
      </c>
      <c r="P38" s="1163">
        <f t="shared" si="43"/>
        <v>0</v>
      </c>
      <c r="Q38" s="1163">
        <f t="shared" si="40"/>
        <v>0</v>
      </c>
      <c r="R38" s="1163">
        <f t="shared" si="40"/>
        <v>0</v>
      </c>
      <c r="S38" s="1163">
        <f t="shared" si="40"/>
        <v>0</v>
      </c>
      <c r="T38" s="1163">
        <f t="shared" si="40"/>
        <v>0</v>
      </c>
      <c r="U38" s="1163">
        <f t="shared" si="40"/>
        <v>0</v>
      </c>
      <c r="V38" s="1163">
        <f t="shared" si="41"/>
        <v>0</v>
      </c>
      <c r="W38" s="1163">
        <f t="shared" si="41"/>
        <v>0</v>
      </c>
    </row>
    <row r="39" spans="1:23" hidden="1">
      <c r="A39" s="54" t="str">
        <f>+Gastos!A56</f>
        <v>213010204</v>
      </c>
      <c r="B39" s="1177" t="str">
        <f>+Gastos!C56</f>
        <v xml:space="preserve">        Municipios (Administración Central)</v>
      </c>
      <c r="C39" s="1163"/>
      <c r="D39" s="1163"/>
      <c r="E39" s="1163"/>
      <c r="F39" s="1163"/>
      <c r="G39" s="1163">
        <f t="shared" ref="G39:P39" si="44">+F39*1.04</f>
        <v>0</v>
      </c>
      <c r="H39" s="1163">
        <v>0</v>
      </c>
      <c r="I39" s="1163">
        <f t="shared" si="44"/>
        <v>0</v>
      </c>
      <c r="J39" s="1163">
        <f t="shared" si="44"/>
        <v>0</v>
      </c>
      <c r="K39" s="1163">
        <f t="shared" si="44"/>
        <v>0</v>
      </c>
      <c r="L39" s="1163">
        <f t="shared" si="44"/>
        <v>0</v>
      </c>
      <c r="M39" s="1163">
        <f t="shared" si="44"/>
        <v>0</v>
      </c>
      <c r="N39" s="1163">
        <f t="shared" si="44"/>
        <v>0</v>
      </c>
      <c r="O39" s="1163">
        <f t="shared" si="44"/>
        <v>0</v>
      </c>
      <c r="P39" s="1163">
        <f t="shared" si="44"/>
        <v>0</v>
      </c>
      <c r="Q39" s="1163">
        <f t="shared" si="40"/>
        <v>0</v>
      </c>
      <c r="R39" s="1163">
        <f t="shared" si="40"/>
        <v>0</v>
      </c>
      <c r="S39" s="1163">
        <f t="shared" si="40"/>
        <v>0</v>
      </c>
      <c r="T39" s="1163">
        <f t="shared" si="40"/>
        <v>0</v>
      </c>
      <c r="U39" s="1163">
        <f t="shared" si="40"/>
        <v>0</v>
      </c>
      <c r="V39" s="1163">
        <f t="shared" si="41"/>
        <v>0</v>
      </c>
      <c r="W39" s="1163">
        <f t="shared" si="41"/>
        <v>0</v>
      </c>
    </row>
    <row r="40" spans="1:23" hidden="1">
      <c r="A40" s="54" t="str">
        <f>+Gastos!A57</f>
        <v>213010205</v>
      </c>
      <c r="B40" s="1177" t="str">
        <f>+Gastos!C57</f>
        <v xml:space="preserve">        A Entidades Descentralizadas</v>
      </c>
      <c r="C40" s="1163"/>
      <c r="D40" s="1163"/>
      <c r="E40" s="1163"/>
      <c r="F40" s="1163"/>
      <c r="G40" s="1163">
        <f t="shared" ref="G40:P40" si="45">+F40*1.04</f>
        <v>0</v>
      </c>
      <c r="H40" s="1163">
        <v>0</v>
      </c>
      <c r="I40" s="1163">
        <f t="shared" si="45"/>
        <v>0</v>
      </c>
      <c r="J40" s="1163">
        <f t="shared" si="45"/>
        <v>0</v>
      </c>
      <c r="K40" s="1163">
        <f t="shared" si="45"/>
        <v>0</v>
      </c>
      <c r="L40" s="1163">
        <f t="shared" si="45"/>
        <v>0</v>
      </c>
      <c r="M40" s="1163">
        <f t="shared" si="45"/>
        <v>0</v>
      </c>
      <c r="N40" s="1163">
        <f t="shared" si="45"/>
        <v>0</v>
      </c>
      <c r="O40" s="1163">
        <f t="shared" si="45"/>
        <v>0</v>
      </c>
      <c r="P40" s="1163">
        <f t="shared" si="45"/>
        <v>0</v>
      </c>
      <c r="Q40" s="1163">
        <f t="shared" si="40"/>
        <v>0</v>
      </c>
      <c r="R40" s="1163">
        <f t="shared" si="40"/>
        <v>0</v>
      </c>
      <c r="S40" s="1163">
        <f t="shared" si="40"/>
        <v>0</v>
      </c>
      <c r="T40" s="1163">
        <f t="shared" si="40"/>
        <v>0</v>
      </c>
      <c r="U40" s="1163">
        <f t="shared" si="40"/>
        <v>0</v>
      </c>
      <c r="V40" s="1163">
        <f t="shared" si="41"/>
        <v>0</v>
      </c>
      <c r="W40" s="1163">
        <f t="shared" si="41"/>
        <v>0</v>
      </c>
    </row>
    <row r="41" spans="1:23" hidden="1">
      <c r="A41" s="47" t="str">
        <f>+Gastos!A58</f>
        <v>21302</v>
      </c>
      <c r="B41" s="1176" t="str">
        <f>+Gastos!C58</f>
        <v xml:space="preserve">   Al Sector Privado</v>
      </c>
      <c r="C41" s="1162">
        <f>+C42+C46</f>
        <v>0</v>
      </c>
      <c r="D41" s="1162">
        <f t="shared" ref="D41:P41" si="46">+D42+D46</f>
        <v>0</v>
      </c>
      <c r="E41" s="1162">
        <f t="shared" si="46"/>
        <v>0</v>
      </c>
      <c r="F41" s="1162">
        <f t="shared" si="46"/>
        <v>0</v>
      </c>
      <c r="G41" s="1162">
        <f t="shared" si="46"/>
        <v>0</v>
      </c>
      <c r="H41" s="1162">
        <v>0</v>
      </c>
      <c r="I41" s="1162">
        <f t="shared" si="46"/>
        <v>0</v>
      </c>
      <c r="J41" s="1162">
        <f t="shared" si="46"/>
        <v>0</v>
      </c>
      <c r="K41" s="1162">
        <f t="shared" si="46"/>
        <v>0</v>
      </c>
      <c r="L41" s="1162">
        <f t="shared" si="46"/>
        <v>0</v>
      </c>
      <c r="M41" s="1162">
        <f t="shared" si="46"/>
        <v>0</v>
      </c>
      <c r="N41" s="1162">
        <f t="shared" si="46"/>
        <v>0</v>
      </c>
      <c r="O41" s="1162">
        <f t="shared" si="46"/>
        <v>0</v>
      </c>
      <c r="P41" s="1162">
        <f t="shared" si="46"/>
        <v>0</v>
      </c>
      <c r="Q41" s="1162">
        <f t="shared" ref="Q41:V41" si="47">+Q42+Q46</f>
        <v>0</v>
      </c>
      <c r="R41" s="1162">
        <f t="shared" si="47"/>
        <v>0</v>
      </c>
      <c r="S41" s="1162">
        <f t="shared" si="47"/>
        <v>0</v>
      </c>
      <c r="T41" s="1162">
        <f t="shared" si="47"/>
        <v>0</v>
      </c>
      <c r="U41" s="1162">
        <f t="shared" si="47"/>
        <v>0</v>
      </c>
      <c r="V41" s="1162">
        <f t="shared" si="47"/>
        <v>0</v>
      </c>
      <c r="W41" s="1162">
        <f>+W42+W46</f>
        <v>0</v>
      </c>
    </row>
    <row r="42" spans="1:23" hidden="1">
      <c r="A42" s="47" t="str">
        <f>+Gastos!A59</f>
        <v>2130201</v>
      </c>
      <c r="B42" s="1176" t="str">
        <f>+Gastos!C59</f>
        <v xml:space="preserve">      Pagos de Previsión Social</v>
      </c>
      <c r="C42" s="1162">
        <f>SUM(C43:C45)</f>
        <v>0</v>
      </c>
      <c r="D42" s="1162">
        <f t="shared" ref="D42:P42" si="48">SUM(D43:D45)</f>
        <v>0</v>
      </c>
      <c r="E42" s="1162">
        <f t="shared" si="48"/>
        <v>0</v>
      </c>
      <c r="F42" s="1162">
        <f t="shared" si="48"/>
        <v>0</v>
      </c>
      <c r="G42" s="1162">
        <f t="shared" si="48"/>
        <v>0</v>
      </c>
      <c r="H42" s="1162">
        <v>0</v>
      </c>
      <c r="I42" s="1162">
        <f t="shared" si="48"/>
        <v>0</v>
      </c>
      <c r="J42" s="1162">
        <f t="shared" si="48"/>
        <v>0</v>
      </c>
      <c r="K42" s="1162">
        <f t="shared" si="48"/>
        <v>0</v>
      </c>
      <c r="L42" s="1162">
        <f t="shared" si="48"/>
        <v>0</v>
      </c>
      <c r="M42" s="1162">
        <f t="shared" si="48"/>
        <v>0</v>
      </c>
      <c r="N42" s="1162">
        <f t="shared" si="48"/>
        <v>0</v>
      </c>
      <c r="O42" s="1162">
        <f t="shared" si="48"/>
        <v>0</v>
      </c>
      <c r="P42" s="1162">
        <f t="shared" si="48"/>
        <v>0</v>
      </c>
      <c r="Q42" s="1162">
        <f t="shared" ref="Q42:V42" si="49">SUM(Q43:Q45)</f>
        <v>0</v>
      </c>
      <c r="R42" s="1162">
        <f t="shared" si="49"/>
        <v>0</v>
      </c>
      <c r="S42" s="1162">
        <f t="shared" si="49"/>
        <v>0</v>
      </c>
      <c r="T42" s="1162">
        <f t="shared" si="49"/>
        <v>0</v>
      </c>
      <c r="U42" s="1162">
        <f t="shared" si="49"/>
        <v>0</v>
      </c>
      <c r="V42" s="1162">
        <f t="shared" si="49"/>
        <v>0</v>
      </c>
      <c r="W42" s="1162">
        <f>SUM(W43:W45)</f>
        <v>0</v>
      </c>
    </row>
    <row r="43" spans="1:23" hidden="1">
      <c r="A43" s="53" t="str">
        <f>+Gastos!A60</f>
        <v>21302010101</v>
      </c>
      <c r="B43" s="1177" t="str">
        <f>+Gastos!C60</f>
        <v xml:space="preserve">          Cesantías (pagos directos)</v>
      </c>
      <c r="C43" s="1163"/>
      <c r="D43" s="1163"/>
      <c r="E43" s="1163"/>
      <c r="F43" s="1163"/>
      <c r="G43" s="1163">
        <f t="shared" ref="G43:P43" si="50">+F43*1.04</f>
        <v>0</v>
      </c>
      <c r="H43" s="1163">
        <v>0</v>
      </c>
      <c r="I43" s="1163">
        <f t="shared" si="50"/>
        <v>0</v>
      </c>
      <c r="J43" s="1163">
        <f t="shared" si="50"/>
        <v>0</v>
      </c>
      <c r="K43" s="1163">
        <f t="shared" si="50"/>
        <v>0</v>
      </c>
      <c r="L43" s="1163">
        <f t="shared" si="50"/>
        <v>0</v>
      </c>
      <c r="M43" s="1163">
        <f t="shared" si="50"/>
        <v>0</v>
      </c>
      <c r="N43" s="1163">
        <f t="shared" si="50"/>
        <v>0</v>
      </c>
      <c r="O43" s="1163">
        <f t="shared" si="50"/>
        <v>0</v>
      </c>
      <c r="P43" s="1163">
        <f t="shared" si="50"/>
        <v>0</v>
      </c>
      <c r="Q43" s="1163">
        <f t="shared" ref="Q43:U51" si="51">+P43*1.04</f>
        <v>0</v>
      </c>
      <c r="R43" s="1163">
        <f t="shared" si="51"/>
        <v>0</v>
      </c>
      <c r="S43" s="1163">
        <f t="shared" si="51"/>
        <v>0</v>
      </c>
      <c r="T43" s="1163">
        <f t="shared" si="51"/>
        <v>0</v>
      </c>
      <c r="U43" s="1163">
        <f t="shared" si="51"/>
        <v>0</v>
      </c>
      <c r="V43" s="1163">
        <f t="shared" ref="V43:W51" si="52">+U43*1.04</f>
        <v>0</v>
      </c>
      <c r="W43" s="1163">
        <f t="shared" si="52"/>
        <v>0</v>
      </c>
    </row>
    <row r="44" spans="1:23" hidden="1">
      <c r="A44" s="53" t="str">
        <f>+Gastos!A61</f>
        <v>21302010102</v>
      </c>
      <c r="B44" s="1177" t="str">
        <f>+Gastos!C61</f>
        <v xml:space="preserve">          Pensiones (mesadas)</v>
      </c>
      <c r="C44" s="1163"/>
      <c r="D44" s="1163"/>
      <c r="E44" s="1163"/>
      <c r="F44" s="1163"/>
      <c r="G44" s="1163">
        <f t="shared" ref="G44:P44" si="53">+F44*1.04</f>
        <v>0</v>
      </c>
      <c r="H44" s="1163">
        <v>0</v>
      </c>
      <c r="I44" s="1163">
        <f t="shared" si="53"/>
        <v>0</v>
      </c>
      <c r="J44" s="1163">
        <f t="shared" si="53"/>
        <v>0</v>
      </c>
      <c r="K44" s="1163">
        <f t="shared" si="53"/>
        <v>0</v>
      </c>
      <c r="L44" s="1163">
        <f t="shared" si="53"/>
        <v>0</v>
      </c>
      <c r="M44" s="1163">
        <f t="shared" si="53"/>
        <v>0</v>
      </c>
      <c r="N44" s="1163">
        <f t="shared" si="53"/>
        <v>0</v>
      </c>
      <c r="O44" s="1163">
        <f t="shared" si="53"/>
        <v>0</v>
      </c>
      <c r="P44" s="1163">
        <f t="shared" si="53"/>
        <v>0</v>
      </c>
      <c r="Q44" s="1163">
        <f t="shared" si="51"/>
        <v>0</v>
      </c>
      <c r="R44" s="1163">
        <f t="shared" si="51"/>
        <v>0</v>
      </c>
      <c r="S44" s="1163">
        <f t="shared" si="51"/>
        <v>0</v>
      </c>
      <c r="T44" s="1163">
        <f t="shared" si="51"/>
        <v>0</v>
      </c>
      <c r="U44" s="1163">
        <f t="shared" si="51"/>
        <v>0</v>
      </c>
      <c r="V44" s="1163">
        <f t="shared" si="52"/>
        <v>0</v>
      </c>
      <c r="W44" s="1163">
        <f t="shared" si="52"/>
        <v>0</v>
      </c>
    </row>
    <row r="45" spans="1:23" hidden="1">
      <c r="A45" s="53" t="str">
        <f>+Gastos!A62</f>
        <v>21302010198</v>
      </c>
      <c r="B45" s="1177" t="str">
        <f>+Gastos!C62</f>
        <v xml:space="preserve">          Otras Prestaciones Sociales</v>
      </c>
      <c r="C45" s="1163"/>
      <c r="D45" s="1163"/>
      <c r="E45" s="1163"/>
      <c r="F45" s="1163"/>
      <c r="G45" s="1163">
        <f t="shared" ref="G45:P45" si="54">+F45*1.04</f>
        <v>0</v>
      </c>
      <c r="H45" s="1163">
        <v>0</v>
      </c>
      <c r="I45" s="1163">
        <f t="shared" si="54"/>
        <v>0</v>
      </c>
      <c r="J45" s="1163">
        <f t="shared" si="54"/>
        <v>0</v>
      </c>
      <c r="K45" s="1163">
        <f t="shared" si="54"/>
        <v>0</v>
      </c>
      <c r="L45" s="1163">
        <f t="shared" si="54"/>
        <v>0</v>
      </c>
      <c r="M45" s="1163">
        <f t="shared" si="54"/>
        <v>0</v>
      </c>
      <c r="N45" s="1163">
        <f t="shared" si="54"/>
        <v>0</v>
      </c>
      <c r="O45" s="1163">
        <f t="shared" si="54"/>
        <v>0</v>
      </c>
      <c r="P45" s="1163">
        <f t="shared" si="54"/>
        <v>0</v>
      </c>
      <c r="Q45" s="1163">
        <f t="shared" si="51"/>
        <v>0</v>
      </c>
      <c r="R45" s="1163">
        <f t="shared" si="51"/>
        <v>0</v>
      </c>
      <c r="S45" s="1163">
        <f t="shared" si="51"/>
        <v>0</v>
      </c>
      <c r="T45" s="1163">
        <f t="shared" si="51"/>
        <v>0</v>
      </c>
      <c r="U45" s="1163">
        <f t="shared" si="51"/>
        <v>0</v>
      </c>
      <c r="V45" s="1163">
        <f t="shared" si="52"/>
        <v>0</v>
      </c>
      <c r="W45" s="1163">
        <f t="shared" si="52"/>
        <v>0</v>
      </c>
    </row>
    <row r="46" spans="1:23" ht="23.25" hidden="1" customHeight="1">
      <c r="A46" s="53" t="str">
        <f>+Gastos!A63</f>
        <v>2130202</v>
      </c>
      <c r="B46" s="1179" t="str">
        <f>+Gastos!C63</f>
        <v xml:space="preserve">    Pagos/Déficit Generado Post Acuerdo (Aplica 617/00)</v>
      </c>
      <c r="C46" s="1163"/>
      <c r="D46" s="1163"/>
      <c r="E46" s="1163"/>
      <c r="F46" s="1163"/>
      <c r="G46" s="1163">
        <f t="shared" ref="G46:P46" si="55">+F46*1.04</f>
        <v>0</v>
      </c>
      <c r="H46" s="1163">
        <v>0</v>
      </c>
      <c r="I46" s="1163">
        <f t="shared" si="55"/>
        <v>0</v>
      </c>
      <c r="J46" s="1163">
        <f t="shared" si="55"/>
        <v>0</v>
      </c>
      <c r="K46" s="1163">
        <f t="shared" si="55"/>
        <v>0</v>
      </c>
      <c r="L46" s="1163">
        <f t="shared" si="55"/>
        <v>0</v>
      </c>
      <c r="M46" s="1163">
        <f t="shared" si="55"/>
        <v>0</v>
      </c>
      <c r="N46" s="1163">
        <f t="shared" si="55"/>
        <v>0</v>
      </c>
      <c r="O46" s="1163">
        <f t="shared" si="55"/>
        <v>0</v>
      </c>
      <c r="P46" s="1163">
        <f t="shared" si="55"/>
        <v>0</v>
      </c>
      <c r="Q46" s="1163">
        <f t="shared" si="51"/>
        <v>0</v>
      </c>
      <c r="R46" s="1163">
        <f t="shared" si="51"/>
        <v>0</v>
      </c>
      <c r="S46" s="1163">
        <f t="shared" si="51"/>
        <v>0</v>
      </c>
      <c r="T46" s="1163">
        <f t="shared" si="51"/>
        <v>0</v>
      </c>
      <c r="U46" s="1163">
        <f t="shared" si="51"/>
        <v>0</v>
      </c>
      <c r="V46" s="1163">
        <f t="shared" si="52"/>
        <v>0</v>
      </c>
      <c r="W46" s="1163">
        <f t="shared" si="52"/>
        <v>0</v>
      </c>
    </row>
    <row r="47" spans="1:23" hidden="1">
      <c r="A47" s="53" t="str">
        <f>+Gastos!A64</f>
        <v>21303</v>
      </c>
      <c r="B47" s="1177" t="str">
        <f>+Gastos!C64</f>
        <v xml:space="preserve">    Pagos a Organismos Internacionales</v>
      </c>
      <c r="C47" s="1163"/>
      <c r="D47" s="1163"/>
      <c r="E47" s="1163"/>
      <c r="F47" s="1163"/>
      <c r="G47" s="1163">
        <f t="shared" ref="G47:P47" si="56">+F47*1.04</f>
        <v>0</v>
      </c>
      <c r="H47" s="1163">
        <v>0</v>
      </c>
      <c r="I47" s="1163">
        <f t="shared" si="56"/>
        <v>0</v>
      </c>
      <c r="J47" s="1163">
        <f t="shared" si="56"/>
        <v>0</v>
      </c>
      <c r="K47" s="1163">
        <f t="shared" si="56"/>
        <v>0</v>
      </c>
      <c r="L47" s="1163">
        <f t="shared" si="56"/>
        <v>0</v>
      </c>
      <c r="M47" s="1163">
        <f t="shared" si="56"/>
        <v>0</v>
      </c>
      <c r="N47" s="1163">
        <f t="shared" si="56"/>
        <v>0</v>
      </c>
      <c r="O47" s="1163">
        <f t="shared" si="56"/>
        <v>0</v>
      </c>
      <c r="P47" s="1163">
        <f t="shared" si="56"/>
        <v>0</v>
      </c>
      <c r="Q47" s="1163">
        <f t="shared" si="51"/>
        <v>0</v>
      </c>
      <c r="R47" s="1163">
        <f t="shared" si="51"/>
        <v>0</v>
      </c>
      <c r="S47" s="1163">
        <f t="shared" si="51"/>
        <v>0</v>
      </c>
      <c r="T47" s="1163">
        <f t="shared" si="51"/>
        <v>0</v>
      </c>
      <c r="U47" s="1163">
        <f t="shared" si="51"/>
        <v>0</v>
      </c>
      <c r="V47" s="1163">
        <f t="shared" si="52"/>
        <v>0</v>
      </c>
      <c r="W47" s="1163">
        <f t="shared" si="52"/>
        <v>0</v>
      </c>
    </row>
    <row r="48" spans="1:23">
      <c r="A48" s="47" t="str">
        <f>+Gastos!A65</f>
        <v>21304</v>
      </c>
      <c r="B48" s="1176" t="str">
        <f>+Gastos!C65</f>
        <v xml:space="preserve">   Cuentas por pagar vigencias anteriores</v>
      </c>
      <c r="C48" s="1163"/>
      <c r="D48" s="1163"/>
      <c r="E48" s="1163"/>
      <c r="F48" s="1163">
        <v>10000</v>
      </c>
      <c r="G48" s="1163">
        <f t="shared" ref="G48:P48" si="57">+F48*1.04</f>
        <v>10400</v>
      </c>
      <c r="H48" s="1163">
        <v>10000</v>
      </c>
      <c r="I48" s="1163">
        <v>10400</v>
      </c>
      <c r="J48" s="1163">
        <v>10400</v>
      </c>
      <c r="K48" s="1163">
        <f t="shared" si="57"/>
        <v>10816</v>
      </c>
      <c r="L48" s="1163">
        <v>5000</v>
      </c>
      <c r="M48" s="1163">
        <f t="shared" si="57"/>
        <v>5200</v>
      </c>
      <c r="N48" s="1163">
        <f t="shared" si="57"/>
        <v>5408</v>
      </c>
      <c r="O48" s="1163">
        <f t="shared" si="57"/>
        <v>5624.3200000000006</v>
      </c>
      <c r="P48" s="1163">
        <f t="shared" si="57"/>
        <v>5849.2928000000011</v>
      </c>
      <c r="Q48" s="1163">
        <f t="shared" si="51"/>
        <v>6083.2645120000016</v>
      </c>
      <c r="R48" s="1163">
        <f t="shared" si="51"/>
        <v>6326.5950924800018</v>
      </c>
      <c r="S48" s="1163">
        <f t="shared" si="51"/>
        <v>6579.6588961792022</v>
      </c>
      <c r="T48" s="1163">
        <f t="shared" si="51"/>
        <v>6842.8452520263709</v>
      </c>
      <c r="U48" s="1163">
        <f t="shared" si="51"/>
        <v>7116.5590621074261</v>
      </c>
      <c r="V48" s="1163">
        <f t="shared" si="52"/>
        <v>7401.221424591723</v>
      </c>
      <c r="W48" s="1163">
        <f t="shared" si="52"/>
        <v>7697.2702815753919</v>
      </c>
    </row>
    <row r="49" spans="1:25">
      <c r="A49" s="56" t="str">
        <f>+Gastos!A66</f>
        <v>21305</v>
      </c>
      <c r="B49" s="1176" t="str">
        <f>+Gastos!C66</f>
        <v xml:space="preserve">   Mesadas Pensionales</v>
      </c>
      <c r="C49" s="1163"/>
      <c r="D49" s="1163"/>
      <c r="E49" s="1163"/>
      <c r="F49" s="1163">
        <v>26000</v>
      </c>
      <c r="G49" s="1163">
        <f t="shared" ref="G49:P49" si="58">+F49*1.04</f>
        <v>27040</v>
      </c>
      <c r="H49" s="1163">
        <v>28000</v>
      </c>
      <c r="I49" s="1163">
        <v>29120</v>
      </c>
      <c r="J49" s="1163">
        <f t="shared" si="58"/>
        <v>30284.799999999999</v>
      </c>
      <c r="K49" s="1163">
        <f t="shared" si="58"/>
        <v>31496.191999999999</v>
      </c>
      <c r="L49" s="1163">
        <v>31496</v>
      </c>
      <c r="M49" s="1163">
        <f t="shared" si="58"/>
        <v>32755.84</v>
      </c>
      <c r="N49" s="1163">
        <f t="shared" si="58"/>
        <v>34066.073600000003</v>
      </c>
      <c r="O49" s="1163">
        <f t="shared" si="58"/>
        <v>35428.716544000003</v>
      </c>
      <c r="P49" s="1163">
        <f t="shared" si="58"/>
        <v>36845.865205760005</v>
      </c>
      <c r="Q49" s="1163">
        <f t="shared" si="51"/>
        <v>38319.699813990403</v>
      </c>
      <c r="R49" s="1163">
        <f t="shared" si="51"/>
        <v>39852.487806550023</v>
      </c>
      <c r="S49" s="1163">
        <f t="shared" si="51"/>
        <v>41446.587318812024</v>
      </c>
      <c r="T49" s="1163">
        <f t="shared" si="51"/>
        <v>43104.450811564508</v>
      </c>
      <c r="U49" s="1163">
        <f t="shared" si="51"/>
        <v>44828.628844027087</v>
      </c>
      <c r="V49" s="1163">
        <f t="shared" si="52"/>
        <v>46621.773997788172</v>
      </c>
      <c r="W49" s="1163">
        <f t="shared" si="52"/>
        <v>48486.644957699704</v>
      </c>
    </row>
    <row r="50" spans="1:25">
      <c r="A50" s="56" t="str">
        <f>+Gastos!A68</f>
        <v>21306</v>
      </c>
      <c r="B50" s="1176" t="str">
        <f>+Gastos!C68</f>
        <v xml:space="preserve">   Sentencias y Conciliaciones</v>
      </c>
      <c r="C50" s="1163"/>
      <c r="D50" s="1163"/>
      <c r="E50" s="1163"/>
      <c r="F50" s="1163">
        <v>60000</v>
      </c>
      <c r="G50" s="1163">
        <f t="shared" ref="G50:P50" si="59">+F50*1.04</f>
        <v>62400</v>
      </c>
      <c r="H50" s="1163">
        <v>53902</v>
      </c>
      <c r="I50" s="1163">
        <v>50000</v>
      </c>
      <c r="J50" s="1163">
        <v>50000</v>
      </c>
      <c r="K50" s="1163">
        <f t="shared" si="59"/>
        <v>52000</v>
      </c>
      <c r="L50" s="1163">
        <v>10000</v>
      </c>
      <c r="M50" s="1163">
        <f t="shared" si="59"/>
        <v>10400</v>
      </c>
      <c r="N50" s="1163">
        <f t="shared" si="59"/>
        <v>10816</v>
      </c>
      <c r="O50" s="1163">
        <f t="shared" si="59"/>
        <v>11248.640000000001</v>
      </c>
      <c r="P50" s="1163">
        <f t="shared" si="59"/>
        <v>11698.585600000002</v>
      </c>
      <c r="Q50" s="1163">
        <f t="shared" si="51"/>
        <v>12166.529024000003</v>
      </c>
      <c r="R50" s="1163">
        <f t="shared" si="51"/>
        <v>12653.190184960004</v>
      </c>
      <c r="S50" s="1163">
        <f t="shared" si="51"/>
        <v>13159.317792358404</v>
      </c>
      <c r="T50" s="1163">
        <f t="shared" si="51"/>
        <v>13685.690504052742</v>
      </c>
      <c r="U50" s="1163">
        <f t="shared" si="51"/>
        <v>14233.118124214852</v>
      </c>
      <c r="V50" s="1163">
        <f t="shared" si="52"/>
        <v>14802.442849183446</v>
      </c>
      <c r="W50" s="1163">
        <f t="shared" si="52"/>
        <v>15394.540563150784</v>
      </c>
    </row>
    <row r="51" spans="1:25">
      <c r="A51" s="47" t="str">
        <f>+Gastos!A70</f>
        <v>21398</v>
      </c>
      <c r="B51" s="1176" t="str">
        <f>+Gastos!C70</f>
        <v xml:space="preserve">   Otras Transferencias</v>
      </c>
      <c r="C51" s="1163"/>
      <c r="D51" s="1163"/>
      <c r="E51" s="1163"/>
      <c r="F51" s="1163">
        <f>700+3500+1100+700</f>
        <v>6000</v>
      </c>
      <c r="G51" s="1163">
        <f t="shared" ref="G51:P51" si="60">+F51*1.04</f>
        <v>6240</v>
      </c>
      <c r="H51" s="1163">
        <v>7300</v>
      </c>
      <c r="I51" s="1163">
        <v>7592</v>
      </c>
      <c r="J51" s="1163">
        <v>7592</v>
      </c>
      <c r="K51" s="1163">
        <f t="shared" si="60"/>
        <v>7895.68</v>
      </c>
      <c r="L51" s="1163">
        <v>19669</v>
      </c>
      <c r="M51" s="1163">
        <f t="shared" si="60"/>
        <v>20455.760000000002</v>
      </c>
      <c r="N51" s="1163">
        <f t="shared" si="60"/>
        <v>21273.990400000002</v>
      </c>
      <c r="O51" s="1163">
        <f t="shared" si="60"/>
        <v>22124.950016000003</v>
      </c>
      <c r="P51" s="1163">
        <f t="shared" si="60"/>
        <v>23009.948016640003</v>
      </c>
      <c r="Q51" s="1163">
        <f t="shared" si="51"/>
        <v>23930.345937305603</v>
      </c>
      <c r="R51" s="1163">
        <f t="shared" si="51"/>
        <v>24887.559774797828</v>
      </c>
      <c r="S51" s="1163">
        <f t="shared" si="51"/>
        <v>25883.062165789743</v>
      </c>
      <c r="T51" s="1163">
        <f t="shared" si="51"/>
        <v>26918.384652421333</v>
      </c>
      <c r="U51" s="1163">
        <f t="shared" si="51"/>
        <v>27995.120038518187</v>
      </c>
      <c r="V51" s="1163">
        <f t="shared" si="52"/>
        <v>29114.924840058917</v>
      </c>
      <c r="W51" s="1163">
        <f t="shared" si="52"/>
        <v>30279.521833661274</v>
      </c>
    </row>
    <row r="52" spans="1:25" hidden="1">
      <c r="A52" s="56" t="str">
        <f>+Gastos!A71</f>
        <v>217</v>
      </c>
      <c r="B52" s="1180" t="str">
        <f>+Gastos!C71</f>
        <v xml:space="preserve">   DEFICIT FISCAL (FUNCIONAMIENTO) </v>
      </c>
      <c r="C52" s="1162">
        <f>SUM(C53:C54)</f>
        <v>0</v>
      </c>
      <c r="D52" s="1162">
        <f t="shared" ref="D52:P52" si="61">SUM(D53:D54)</f>
        <v>0</v>
      </c>
      <c r="E52" s="1162">
        <f t="shared" si="61"/>
        <v>0</v>
      </c>
      <c r="F52" s="1162">
        <f t="shared" si="61"/>
        <v>0</v>
      </c>
      <c r="G52" s="1162">
        <f t="shared" si="61"/>
        <v>0</v>
      </c>
      <c r="H52" s="1162">
        <v>0</v>
      </c>
      <c r="I52" s="1162">
        <f t="shared" si="61"/>
        <v>0</v>
      </c>
      <c r="J52" s="1162">
        <f t="shared" si="61"/>
        <v>0</v>
      </c>
      <c r="K52" s="1162">
        <f t="shared" si="61"/>
        <v>0</v>
      </c>
      <c r="L52" s="1162">
        <f t="shared" si="61"/>
        <v>0</v>
      </c>
      <c r="M52" s="1162">
        <f t="shared" si="61"/>
        <v>0</v>
      </c>
      <c r="N52" s="1162">
        <f t="shared" si="61"/>
        <v>0</v>
      </c>
      <c r="O52" s="1162">
        <f t="shared" si="61"/>
        <v>0</v>
      </c>
      <c r="P52" s="1162">
        <f t="shared" si="61"/>
        <v>0</v>
      </c>
      <c r="Q52" s="1162">
        <f t="shared" ref="Q52:V52" si="62">SUM(Q53:Q54)</f>
        <v>0</v>
      </c>
      <c r="R52" s="1162">
        <f t="shared" si="62"/>
        <v>0</v>
      </c>
      <c r="S52" s="1162">
        <f t="shared" si="62"/>
        <v>0</v>
      </c>
      <c r="T52" s="1162">
        <f t="shared" si="62"/>
        <v>0</v>
      </c>
      <c r="U52" s="1162">
        <f t="shared" si="62"/>
        <v>0</v>
      </c>
      <c r="V52" s="1162">
        <f t="shared" si="62"/>
        <v>0</v>
      </c>
      <c r="W52" s="1162">
        <f>SUM(W53:W54)</f>
        <v>0</v>
      </c>
    </row>
    <row r="53" spans="1:25" hidden="1">
      <c r="A53" s="57" t="str">
        <f>+Gastos!A72</f>
        <v>12A</v>
      </c>
      <c r="B53" s="1179" t="str">
        <f>+Gastos!C72</f>
        <v xml:space="preserve"> DÉFICIT FISCAL VIGENCIAS 2.001 Y SIGUIENTES</v>
      </c>
      <c r="C53" s="1165">
        <f>+'Pasivo a Cancelar y Deuda'!C56+'Pasivo a Cancelar y Deuda'!C59+'Pasivo a Cancelar y Deuda'!C62+'Pasivo a Cancelar y Deuda'!C65+'Pasivo a Cancelar y Deuda'!C68+'Pasivo a Cancelar y Deuda'!C71+'Pasivo a Cancelar y Deuda'!C74+'Pasivo a Cancelar y Deuda'!C77+'Pasivo a Cancelar y Deuda'!C80+'Pasivo a Cancelar y Deuda'!C83</f>
        <v>0</v>
      </c>
      <c r="D53" s="1165">
        <f>+'Pasivo a Cancelar y Deuda'!D56+'Pasivo a Cancelar y Deuda'!D59+'Pasivo a Cancelar y Deuda'!D62+'Pasivo a Cancelar y Deuda'!D65+'Pasivo a Cancelar y Deuda'!D68+'Pasivo a Cancelar y Deuda'!D71+'Pasivo a Cancelar y Deuda'!D74+'Pasivo a Cancelar y Deuda'!D77+'Pasivo a Cancelar y Deuda'!D80+'Pasivo a Cancelar y Deuda'!D83</f>
        <v>0</v>
      </c>
      <c r="E53" s="1165">
        <f>+'Pasivo a Cancelar y Deuda'!E56+'Pasivo a Cancelar y Deuda'!E59+'Pasivo a Cancelar y Deuda'!E62+'Pasivo a Cancelar y Deuda'!E65+'Pasivo a Cancelar y Deuda'!E68+'Pasivo a Cancelar y Deuda'!E71+'Pasivo a Cancelar y Deuda'!E74+'Pasivo a Cancelar y Deuda'!E77+'Pasivo a Cancelar y Deuda'!E80+'Pasivo a Cancelar y Deuda'!E83</f>
        <v>0</v>
      </c>
      <c r="F53" s="1165">
        <f>+'Pasivo a Cancelar y Deuda'!F56+'Pasivo a Cancelar y Deuda'!F59+'Pasivo a Cancelar y Deuda'!F62+'Pasivo a Cancelar y Deuda'!F65+'Pasivo a Cancelar y Deuda'!F68+'Pasivo a Cancelar y Deuda'!F71+'Pasivo a Cancelar y Deuda'!F74+'Pasivo a Cancelar y Deuda'!F77+'Pasivo a Cancelar y Deuda'!F80+'Pasivo a Cancelar y Deuda'!F83</f>
        <v>0</v>
      </c>
      <c r="G53" s="1165">
        <f>+'Pasivo a Cancelar y Deuda'!G56+'Pasivo a Cancelar y Deuda'!G59+'Pasivo a Cancelar y Deuda'!G62+'Pasivo a Cancelar y Deuda'!G65+'Pasivo a Cancelar y Deuda'!G68+'Pasivo a Cancelar y Deuda'!G71+'Pasivo a Cancelar y Deuda'!G74+'Pasivo a Cancelar y Deuda'!G77+'Pasivo a Cancelar y Deuda'!G80+'Pasivo a Cancelar y Deuda'!G83</f>
        <v>0</v>
      </c>
      <c r="H53" s="1165">
        <v>0</v>
      </c>
      <c r="I53" s="1165">
        <f>+'Pasivo a Cancelar y Deuda'!I56+'Pasivo a Cancelar y Deuda'!I59+'Pasivo a Cancelar y Deuda'!I62+'Pasivo a Cancelar y Deuda'!I65+'Pasivo a Cancelar y Deuda'!I68+'Pasivo a Cancelar y Deuda'!I71+'Pasivo a Cancelar y Deuda'!I74+'Pasivo a Cancelar y Deuda'!I77+'Pasivo a Cancelar y Deuda'!I80+'Pasivo a Cancelar y Deuda'!I83</f>
        <v>0</v>
      </c>
      <c r="J53" s="1165">
        <f>+'Pasivo a Cancelar y Deuda'!J56+'Pasivo a Cancelar y Deuda'!J59+'Pasivo a Cancelar y Deuda'!J62+'Pasivo a Cancelar y Deuda'!J65+'Pasivo a Cancelar y Deuda'!J68+'Pasivo a Cancelar y Deuda'!J71+'Pasivo a Cancelar y Deuda'!J74+'Pasivo a Cancelar y Deuda'!J77+'Pasivo a Cancelar y Deuda'!J80+'Pasivo a Cancelar y Deuda'!J83</f>
        <v>0</v>
      </c>
      <c r="K53" s="1165">
        <f>+'Pasivo a Cancelar y Deuda'!K56+'Pasivo a Cancelar y Deuda'!K59+'Pasivo a Cancelar y Deuda'!K62+'Pasivo a Cancelar y Deuda'!K65+'Pasivo a Cancelar y Deuda'!K68+'Pasivo a Cancelar y Deuda'!K71+'Pasivo a Cancelar y Deuda'!K74+'Pasivo a Cancelar y Deuda'!K77+'Pasivo a Cancelar y Deuda'!K80+'Pasivo a Cancelar y Deuda'!K83</f>
        <v>0</v>
      </c>
      <c r="L53" s="1165">
        <f>+'Pasivo a Cancelar y Deuda'!L56+'Pasivo a Cancelar y Deuda'!L59+'Pasivo a Cancelar y Deuda'!L62+'Pasivo a Cancelar y Deuda'!L65+'Pasivo a Cancelar y Deuda'!L68+'Pasivo a Cancelar y Deuda'!L71+'Pasivo a Cancelar y Deuda'!L74+'Pasivo a Cancelar y Deuda'!L77+'Pasivo a Cancelar y Deuda'!L80+'Pasivo a Cancelar y Deuda'!L83</f>
        <v>0</v>
      </c>
      <c r="M53" s="1165">
        <f>+'Pasivo a Cancelar y Deuda'!M56+'Pasivo a Cancelar y Deuda'!M59+'Pasivo a Cancelar y Deuda'!M62+'Pasivo a Cancelar y Deuda'!M65+'Pasivo a Cancelar y Deuda'!M68+'Pasivo a Cancelar y Deuda'!M71+'Pasivo a Cancelar y Deuda'!M74+'Pasivo a Cancelar y Deuda'!M77+'Pasivo a Cancelar y Deuda'!M80+'Pasivo a Cancelar y Deuda'!M83</f>
        <v>0</v>
      </c>
      <c r="N53" s="1165">
        <f>+'Pasivo a Cancelar y Deuda'!N56+'Pasivo a Cancelar y Deuda'!N59+'Pasivo a Cancelar y Deuda'!N62+'Pasivo a Cancelar y Deuda'!N65+'Pasivo a Cancelar y Deuda'!N68+'Pasivo a Cancelar y Deuda'!N71+'Pasivo a Cancelar y Deuda'!N74+'Pasivo a Cancelar y Deuda'!N77+'Pasivo a Cancelar y Deuda'!N80+'Pasivo a Cancelar y Deuda'!N83</f>
        <v>0</v>
      </c>
      <c r="O53" s="1165">
        <f>+'Pasivo a Cancelar y Deuda'!O56+'Pasivo a Cancelar y Deuda'!O59+'Pasivo a Cancelar y Deuda'!O62+'Pasivo a Cancelar y Deuda'!O65+'Pasivo a Cancelar y Deuda'!O68+'Pasivo a Cancelar y Deuda'!O71+'Pasivo a Cancelar y Deuda'!O74+'Pasivo a Cancelar y Deuda'!O77+'Pasivo a Cancelar y Deuda'!O80+'Pasivo a Cancelar y Deuda'!O83</f>
        <v>0</v>
      </c>
      <c r="P53" s="1165">
        <f>+'Pasivo a Cancelar y Deuda'!P56+'Pasivo a Cancelar y Deuda'!P59+'Pasivo a Cancelar y Deuda'!P62+'Pasivo a Cancelar y Deuda'!P65+'Pasivo a Cancelar y Deuda'!P68+'Pasivo a Cancelar y Deuda'!P71+'Pasivo a Cancelar y Deuda'!P74+'Pasivo a Cancelar y Deuda'!P77+'Pasivo a Cancelar y Deuda'!P80+'Pasivo a Cancelar y Deuda'!P83</f>
        <v>0</v>
      </c>
      <c r="Q53" s="1165">
        <f>+'Pasivo a Cancelar y Deuda'!Q56+'Pasivo a Cancelar y Deuda'!Q59+'Pasivo a Cancelar y Deuda'!Q62+'Pasivo a Cancelar y Deuda'!Q65+'Pasivo a Cancelar y Deuda'!Q68+'Pasivo a Cancelar y Deuda'!Q71+'Pasivo a Cancelar y Deuda'!Q74+'Pasivo a Cancelar y Deuda'!Q77+'Pasivo a Cancelar y Deuda'!Q80+'Pasivo a Cancelar y Deuda'!Q83</f>
        <v>0</v>
      </c>
      <c r="R53" s="1165">
        <f>+'Pasivo a Cancelar y Deuda'!R56+'Pasivo a Cancelar y Deuda'!R59+'Pasivo a Cancelar y Deuda'!R62+'Pasivo a Cancelar y Deuda'!R65+'Pasivo a Cancelar y Deuda'!R68+'Pasivo a Cancelar y Deuda'!R71+'Pasivo a Cancelar y Deuda'!R74+'Pasivo a Cancelar y Deuda'!R77+'Pasivo a Cancelar y Deuda'!R80+'Pasivo a Cancelar y Deuda'!R83</f>
        <v>0</v>
      </c>
      <c r="S53" s="1165">
        <f>+'Pasivo a Cancelar y Deuda'!S56+'Pasivo a Cancelar y Deuda'!S59+'Pasivo a Cancelar y Deuda'!S62+'Pasivo a Cancelar y Deuda'!S65+'Pasivo a Cancelar y Deuda'!S68+'Pasivo a Cancelar y Deuda'!S71+'Pasivo a Cancelar y Deuda'!S74+'Pasivo a Cancelar y Deuda'!S77+'Pasivo a Cancelar y Deuda'!S80+'Pasivo a Cancelar y Deuda'!S83</f>
        <v>0</v>
      </c>
      <c r="T53" s="1165">
        <f>+'Pasivo a Cancelar y Deuda'!T56+'Pasivo a Cancelar y Deuda'!T59+'Pasivo a Cancelar y Deuda'!T62+'Pasivo a Cancelar y Deuda'!T65+'Pasivo a Cancelar y Deuda'!T68+'Pasivo a Cancelar y Deuda'!T71+'Pasivo a Cancelar y Deuda'!T74+'Pasivo a Cancelar y Deuda'!T77+'Pasivo a Cancelar y Deuda'!T80+'Pasivo a Cancelar y Deuda'!T83</f>
        <v>0</v>
      </c>
      <c r="U53" s="1165">
        <f>+'Pasivo a Cancelar y Deuda'!U56+'Pasivo a Cancelar y Deuda'!U59+'Pasivo a Cancelar y Deuda'!U62+'Pasivo a Cancelar y Deuda'!U65+'Pasivo a Cancelar y Deuda'!U68+'Pasivo a Cancelar y Deuda'!U71+'Pasivo a Cancelar y Deuda'!U74+'Pasivo a Cancelar y Deuda'!U77+'Pasivo a Cancelar y Deuda'!U80+'Pasivo a Cancelar y Deuda'!U83</f>
        <v>0</v>
      </c>
      <c r="V53" s="1165">
        <f>+'Pasivo a Cancelar y Deuda'!V56+'Pasivo a Cancelar y Deuda'!V59+'Pasivo a Cancelar y Deuda'!V62+'Pasivo a Cancelar y Deuda'!V65+'Pasivo a Cancelar y Deuda'!V68+'Pasivo a Cancelar y Deuda'!V71+'Pasivo a Cancelar y Deuda'!V74+'Pasivo a Cancelar y Deuda'!V77+'Pasivo a Cancelar y Deuda'!V80+'Pasivo a Cancelar y Deuda'!V83</f>
        <v>0</v>
      </c>
      <c r="W53" s="1165">
        <f>+'Pasivo a Cancelar y Deuda'!W56+'Pasivo a Cancelar y Deuda'!W59+'Pasivo a Cancelar y Deuda'!W62+'Pasivo a Cancelar y Deuda'!W65+'Pasivo a Cancelar y Deuda'!W68+'Pasivo a Cancelar y Deuda'!W71+'Pasivo a Cancelar y Deuda'!W74+'Pasivo a Cancelar y Deuda'!W77+'Pasivo a Cancelar y Deuda'!W80+'Pasivo a Cancelar y Deuda'!W83</f>
        <v>0</v>
      </c>
    </row>
    <row r="54" spans="1:25" hidden="1">
      <c r="A54" s="57" t="str">
        <f>+Gastos!A73</f>
        <v>13A</v>
      </c>
      <c r="B54" s="1179" t="str">
        <f>+Gastos!C73</f>
        <v xml:space="preserve"> DEFICIT FISCAL VIGENCIA 2.000 Y ANTERIORES</v>
      </c>
      <c r="C54" s="1165">
        <f>+'Pasivo a Cancelar y Deuda'!C57+'Pasivo a Cancelar y Deuda'!C60+'Pasivo a Cancelar y Deuda'!C63+'Pasivo a Cancelar y Deuda'!C66+'Pasivo a Cancelar y Deuda'!C69+'Pasivo a Cancelar y Deuda'!C72+'Pasivo a Cancelar y Deuda'!C75+'Pasivo a Cancelar y Deuda'!C78+'Pasivo a Cancelar y Deuda'!C81+'Pasivo a Cancelar y Deuda'!C84</f>
        <v>0</v>
      </c>
      <c r="D54" s="1165">
        <f>+'Pasivo a Cancelar y Deuda'!D57+'Pasivo a Cancelar y Deuda'!D60+'Pasivo a Cancelar y Deuda'!D63+'Pasivo a Cancelar y Deuda'!D66+'Pasivo a Cancelar y Deuda'!D69+'Pasivo a Cancelar y Deuda'!D72+'Pasivo a Cancelar y Deuda'!D75+'Pasivo a Cancelar y Deuda'!D78+'Pasivo a Cancelar y Deuda'!D81+'Pasivo a Cancelar y Deuda'!D84</f>
        <v>0</v>
      </c>
      <c r="E54" s="1165">
        <f>+'Pasivo a Cancelar y Deuda'!E57+'Pasivo a Cancelar y Deuda'!E60+'Pasivo a Cancelar y Deuda'!E63+'Pasivo a Cancelar y Deuda'!E66+'Pasivo a Cancelar y Deuda'!E69+'Pasivo a Cancelar y Deuda'!E72+'Pasivo a Cancelar y Deuda'!E75+'Pasivo a Cancelar y Deuda'!E78+'Pasivo a Cancelar y Deuda'!E81+'Pasivo a Cancelar y Deuda'!E84</f>
        <v>0</v>
      </c>
      <c r="F54" s="1165">
        <f>+'Pasivo a Cancelar y Deuda'!F57+'Pasivo a Cancelar y Deuda'!F60+'Pasivo a Cancelar y Deuda'!F63+'Pasivo a Cancelar y Deuda'!F66+'Pasivo a Cancelar y Deuda'!F69+'Pasivo a Cancelar y Deuda'!F72+'Pasivo a Cancelar y Deuda'!F75+'Pasivo a Cancelar y Deuda'!F78+'Pasivo a Cancelar y Deuda'!F81+'Pasivo a Cancelar y Deuda'!F84</f>
        <v>0</v>
      </c>
      <c r="G54" s="1165">
        <f>+'Pasivo a Cancelar y Deuda'!G57+'Pasivo a Cancelar y Deuda'!G60+'Pasivo a Cancelar y Deuda'!G63+'Pasivo a Cancelar y Deuda'!G66+'Pasivo a Cancelar y Deuda'!G69+'Pasivo a Cancelar y Deuda'!G72+'Pasivo a Cancelar y Deuda'!G75+'Pasivo a Cancelar y Deuda'!G78+'Pasivo a Cancelar y Deuda'!G81+'Pasivo a Cancelar y Deuda'!G84</f>
        <v>0</v>
      </c>
      <c r="H54" s="1165">
        <v>0</v>
      </c>
      <c r="I54" s="1165">
        <f>+'Pasivo a Cancelar y Deuda'!I57+'Pasivo a Cancelar y Deuda'!I60+'Pasivo a Cancelar y Deuda'!I63+'Pasivo a Cancelar y Deuda'!I66+'Pasivo a Cancelar y Deuda'!I69+'Pasivo a Cancelar y Deuda'!I72+'Pasivo a Cancelar y Deuda'!I75+'Pasivo a Cancelar y Deuda'!I78+'Pasivo a Cancelar y Deuda'!I81+'Pasivo a Cancelar y Deuda'!I84</f>
        <v>0</v>
      </c>
      <c r="J54" s="1165">
        <f>+'Pasivo a Cancelar y Deuda'!J57+'Pasivo a Cancelar y Deuda'!J60+'Pasivo a Cancelar y Deuda'!J63+'Pasivo a Cancelar y Deuda'!J66+'Pasivo a Cancelar y Deuda'!J69+'Pasivo a Cancelar y Deuda'!J72+'Pasivo a Cancelar y Deuda'!J75+'Pasivo a Cancelar y Deuda'!J78+'Pasivo a Cancelar y Deuda'!J81+'Pasivo a Cancelar y Deuda'!J84</f>
        <v>0</v>
      </c>
      <c r="K54" s="1165">
        <f>+'Pasivo a Cancelar y Deuda'!K57+'Pasivo a Cancelar y Deuda'!K60+'Pasivo a Cancelar y Deuda'!K63+'Pasivo a Cancelar y Deuda'!K66+'Pasivo a Cancelar y Deuda'!K69+'Pasivo a Cancelar y Deuda'!K72+'Pasivo a Cancelar y Deuda'!K75+'Pasivo a Cancelar y Deuda'!K78+'Pasivo a Cancelar y Deuda'!K81+'Pasivo a Cancelar y Deuda'!K84</f>
        <v>0</v>
      </c>
      <c r="L54" s="1165">
        <f>+'Pasivo a Cancelar y Deuda'!L57+'Pasivo a Cancelar y Deuda'!L60+'Pasivo a Cancelar y Deuda'!L63+'Pasivo a Cancelar y Deuda'!L66+'Pasivo a Cancelar y Deuda'!L69+'Pasivo a Cancelar y Deuda'!L72+'Pasivo a Cancelar y Deuda'!L75+'Pasivo a Cancelar y Deuda'!L78+'Pasivo a Cancelar y Deuda'!L81+'Pasivo a Cancelar y Deuda'!L84</f>
        <v>0</v>
      </c>
      <c r="M54" s="1165">
        <f>+'Pasivo a Cancelar y Deuda'!M57+'Pasivo a Cancelar y Deuda'!M60+'Pasivo a Cancelar y Deuda'!M63+'Pasivo a Cancelar y Deuda'!M66+'Pasivo a Cancelar y Deuda'!M69+'Pasivo a Cancelar y Deuda'!M72+'Pasivo a Cancelar y Deuda'!M75+'Pasivo a Cancelar y Deuda'!M78+'Pasivo a Cancelar y Deuda'!M81+'Pasivo a Cancelar y Deuda'!M84</f>
        <v>0</v>
      </c>
      <c r="N54" s="1165">
        <f>+'Pasivo a Cancelar y Deuda'!N57+'Pasivo a Cancelar y Deuda'!N60+'Pasivo a Cancelar y Deuda'!N63+'Pasivo a Cancelar y Deuda'!N66+'Pasivo a Cancelar y Deuda'!N69+'Pasivo a Cancelar y Deuda'!N72+'Pasivo a Cancelar y Deuda'!N75+'Pasivo a Cancelar y Deuda'!N78+'Pasivo a Cancelar y Deuda'!N81+'Pasivo a Cancelar y Deuda'!N84</f>
        <v>0</v>
      </c>
      <c r="O54" s="1165">
        <f>+'Pasivo a Cancelar y Deuda'!O57+'Pasivo a Cancelar y Deuda'!O60+'Pasivo a Cancelar y Deuda'!O63+'Pasivo a Cancelar y Deuda'!O66+'Pasivo a Cancelar y Deuda'!O69+'Pasivo a Cancelar y Deuda'!O72+'Pasivo a Cancelar y Deuda'!O75+'Pasivo a Cancelar y Deuda'!O78+'Pasivo a Cancelar y Deuda'!O81+'Pasivo a Cancelar y Deuda'!O84</f>
        <v>0</v>
      </c>
      <c r="P54" s="1165">
        <f>+'Pasivo a Cancelar y Deuda'!P57+'Pasivo a Cancelar y Deuda'!P60+'Pasivo a Cancelar y Deuda'!P63+'Pasivo a Cancelar y Deuda'!P66+'Pasivo a Cancelar y Deuda'!P69+'Pasivo a Cancelar y Deuda'!P72+'Pasivo a Cancelar y Deuda'!P75+'Pasivo a Cancelar y Deuda'!P78+'Pasivo a Cancelar y Deuda'!P81+'Pasivo a Cancelar y Deuda'!P84</f>
        <v>0</v>
      </c>
      <c r="Q54" s="1165">
        <f>+'Pasivo a Cancelar y Deuda'!Q57+'Pasivo a Cancelar y Deuda'!Q60+'Pasivo a Cancelar y Deuda'!Q63+'Pasivo a Cancelar y Deuda'!Q66+'Pasivo a Cancelar y Deuda'!Q69+'Pasivo a Cancelar y Deuda'!Q72+'Pasivo a Cancelar y Deuda'!Q75+'Pasivo a Cancelar y Deuda'!Q78+'Pasivo a Cancelar y Deuda'!Q81+'Pasivo a Cancelar y Deuda'!Q84</f>
        <v>0</v>
      </c>
      <c r="R54" s="1165">
        <f>+'Pasivo a Cancelar y Deuda'!R57+'Pasivo a Cancelar y Deuda'!R60+'Pasivo a Cancelar y Deuda'!R63+'Pasivo a Cancelar y Deuda'!R66+'Pasivo a Cancelar y Deuda'!R69+'Pasivo a Cancelar y Deuda'!R72+'Pasivo a Cancelar y Deuda'!R75+'Pasivo a Cancelar y Deuda'!R78+'Pasivo a Cancelar y Deuda'!R81+'Pasivo a Cancelar y Deuda'!R84</f>
        <v>0</v>
      </c>
      <c r="S54" s="1165">
        <f>+'Pasivo a Cancelar y Deuda'!S57+'Pasivo a Cancelar y Deuda'!S60+'Pasivo a Cancelar y Deuda'!S63+'Pasivo a Cancelar y Deuda'!S66+'Pasivo a Cancelar y Deuda'!S69+'Pasivo a Cancelar y Deuda'!S72+'Pasivo a Cancelar y Deuda'!S75+'Pasivo a Cancelar y Deuda'!S78+'Pasivo a Cancelar y Deuda'!S81+'Pasivo a Cancelar y Deuda'!S84</f>
        <v>0</v>
      </c>
      <c r="T54" s="1165">
        <f>+'Pasivo a Cancelar y Deuda'!T57+'Pasivo a Cancelar y Deuda'!T60+'Pasivo a Cancelar y Deuda'!T63+'Pasivo a Cancelar y Deuda'!T66+'Pasivo a Cancelar y Deuda'!T69+'Pasivo a Cancelar y Deuda'!T72+'Pasivo a Cancelar y Deuda'!T75+'Pasivo a Cancelar y Deuda'!T78+'Pasivo a Cancelar y Deuda'!T81+'Pasivo a Cancelar y Deuda'!T84</f>
        <v>0</v>
      </c>
      <c r="U54" s="1165">
        <f>+'Pasivo a Cancelar y Deuda'!U57+'Pasivo a Cancelar y Deuda'!U60+'Pasivo a Cancelar y Deuda'!U63+'Pasivo a Cancelar y Deuda'!U66+'Pasivo a Cancelar y Deuda'!U69+'Pasivo a Cancelar y Deuda'!U72+'Pasivo a Cancelar y Deuda'!U75+'Pasivo a Cancelar y Deuda'!U78+'Pasivo a Cancelar y Deuda'!U81+'Pasivo a Cancelar y Deuda'!U84</f>
        <v>0</v>
      </c>
      <c r="V54" s="1165">
        <f>+'Pasivo a Cancelar y Deuda'!V57+'Pasivo a Cancelar y Deuda'!V60+'Pasivo a Cancelar y Deuda'!V63+'Pasivo a Cancelar y Deuda'!V66+'Pasivo a Cancelar y Deuda'!V69+'Pasivo a Cancelar y Deuda'!V72+'Pasivo a Cancelar y Deuda'!V75+'Pasivo a Cancelar y Deuda'!V78+'Pasivo a Cancelar y Deuda'!V81+'Pasivo a Cancelar y Deuda'!V84</f>
        <v>0</v>
      </c>
      <c r="W54" s="1165">
        <f>+'Pasivo a Cancelar y Deuda'!W57+'Pasivo a Cancelar y Deuda'!W60+'Pasivo a Cancelar y Deuda'!W63+'Pasivo a Cancelar y Deuda'!W66+'Pasivo a Cancelar y Deuda'!W69+'Pasivo a Cancelar y Deuda'!W72+'Pasivo a Cancelar y Deuda'!W75+'Pasivo a Cancelar y Deuda'!W78+'Pasivo a Cancelar y Deuda'!W81+'Pasivo a Cancelar y Deuda'!W84</f>
        <v>0</v>
      </c>
    </row>
    <row r="55" spans="1:25">
      <c r="A55" s="397" t="str">
        <f>+Gastos!A74</f>
        <v>22</v>
      </c>
      <c r="B55" s="1181" t="str">
        <f>+Gastos!C74</f>
        <v>GASTOS DE INVERSION</v>
      </c>
      <c r="C55" s="1162">
        <f>+C56+C108+C145+C181</f>
        <v>0</v>
      </c>
      <c r="D55" s="1162">
        <f>+D56+D108+D145+D181</f>
        <v>0</v>
      </c>
      <c r="E55" s="1162">
        <f>+E56+E108+E145+E181</f>
        <v>0</v>
      </c>
      <c r="F55" s="1162">
        <f>+F56+F108+F145+F181</f>
        <v>5775116</v>
      </c>
      <c r="G55" s="1162">
        <f>+G56+G108+G145+G181</f>
        <v>5246949.2399999993</v>
      </c>
      <c r="H55" s="1162">
        <v>4547309</v>
      </c>
      <c r="I55" s="1162">
        <f>+I56+I108+I145+I182</f>
        <v>4991614</v>
      </c>
      <c r="J55" s="1162">
        <f>+J56+J108+J145+J182</f>
        <v>5055099.7119999994</v>
      </c>
      <c r="K55" s="1162">
        <f>+K56+K108+K145+K182</f>
        <v>5258343.7004799992</v>
      </c>
      <c r="L55" s="1162">
        <f>+L56+L108+L145+L182</f>
        <v>5468677.1604992012</v>
      </c>
      <c r="M55" s="1162">
        <f>+M56+M108+M145</f>
        <v>5716824.5457351683</v>
      </c>
      <c r="N55" s="1162">
        <f t="shared" ref="N55:W55" si="63">+N56+N108+N145</f>
        <v>5945497.5275645759</v>
      </c>
      <c r="O55" s="1162">
        <f t="shared" si="63"/>
        <v>6183317.4286671598</v>
      </c>
      <c r="P55" s="1162">
        <f t="shared" si="63"/>
        <v>6430650.1258138455</v>
      </c>
      <c r="Q55" s="1162">
        <f t="shared" si="63"/>
        <v>6687876.1308463998</v>
      </c>
      <c r="R55" s="1162">
        <f t="shared" si="63"/>
        <v>6955391.1760802558</v>
      </c>
      <c r="S55" s="1162">
        <f t="shared" si="63"/>
        <v>7233606.8231234653</v>
      </c>
      <c r="T55" s="1162">
        <f t="shared" si="63"/>
        <v>7522951.0960484045</v>
      </c>
      <c r="U55" s="1162">
        <f t="shared" si="63"/>
        <v>7823869.1398903402</v>
      </c>
      <c r="V55" s="1162">
        <f t="shared" si="63"/>
        <v>8136823.9054859541</v>
      </c>
      <c r="W55" s="1162">
        <f t="shared" si="63"/>
        <v>8462296.8617053926</v>
      </c>
    </row>
    <row r="56" spans="1:25">
      <c r="A56" s="56" t="str">
        <f>+Gastos!A75</f>
        <v>223</v>
      </c>
      <c r="B56" s="1180" t="str">
        <f>+Gastos!C75</f>
        <v xml:space="preserve">  CON RECURSOS DEL SGP</v>
      </c>
      <c r="C56" s="1162">
        <f>+C57+C64+C71</f>
        <v>0</v>
      </c>
      <c r="D56" s="1162">
        <f>+D57+D64+D71</f>
        <v>0</v>
      </c>
      <c r="E56" s="1162">
        <f>+E57+E64+E71</f>
        <v>0</v>
      </c>
      <c r="F56" s="1162">
        <f>+F57+F64+F71</f>
        <v>4893853</v>
      </c>
      <c r="G56" s="1162">
        <f>+G57+G64+G71</f>
        <v>5068464.4399999995</v>
      </c>
      <c r="H56" s="1162">
        <v>4355130</v>
      </c>
      <c r="I56" s="1162">
        <f>+I57+I64+I71</f>
        <v>4633897</v>
      </c>
      <c r="J56" s="1162">
        <f t="shared" ref="J56:P56" si="64">+J57+J64+J71</f>
        <v>4425535.96</v>
      </c>
      <c r="K56" s="1162">
        <f t="shared" si="64"/>
        <v>4786877.3983999994</v>
      </c>
      <c r="L56" s="1162">
        <f t="shared" si="64"/>
        <v>4751712.2063360009</v>
      </c>
      <c r="M56" s="1162">
        <f>+M57+M64+M71</f>
        <v>5295340.8334054407</v>
      </c>
      <c r="N56" s="1162">
        <f>+N57+N64+N71</f>
        <v>5507154.4667416587</v>
      </c>
      <c r="O56" s="1162">
        <f t="shared" si="64"/>
        <v>5727440.6454113256</v>
      </c>
      <c r="P56" s="1162">
        <f t="shared" si="64"/>
        <v>5956538.2712277779</v>
      </c>
      <c r="Q56" s="1162">
        <f t="shared" ref="Q56:V56" si="65">+Q57+Q64+Q71</f>
        <v>6194799.8020768892</v>
      </c>
      <c r="R56" s="1162">
        <f t="shared" si="65"/>
        <v>6442591.7941599656</v>
      </c>
      <c r="S56" s="1162">
        <f t="shared" si="65"/>
        <v>6700295.4659263631</v>
      </c>
      <c r="T56" s="1162">
        <f t="shared" si="65"/>
        <v>6968307.2845634185</v>
      </c>
      <c r="U56" s="1162">
        <f t="shared" si="65"/>
        <v>7247039.5759459548</v>
      </c>
      <c r="V56" s="1162">
        <f t="shared" si="65"/>
        <v>7536921.1589837931</v>
      </c>
      <c r="W56" s="1162">
        <f>+W57+W64+W71</f>
        <v>7838398.0053431457</v>
      </c>
      <c r="Y56" s="967"/>
    </row>
    <row r="57" spans="1:25">
      <c r="A57" s="398" t="str">
        <f>+Gastos!A76</f>
        <v>22310</v>
      </c>
      <c r="B57" s="1180" t="str">
        <f>+Gastos!C76</f>
        <v xml:space="preserve">   EDUCACION</v>
      </c>
      <c r="C57" s="1162">
        <f>SUM(C58:C63)</f>
        <v>0</v>
      </c>
      <c r="D57" s="1162">
        <f>SUM(D58:D63)</f>
        <v>0</v>
      </c>
      <c r="E57" s="1162">
        <f>SUM(E58:E63)</f>
        <v>0</v>
      </c>
      <c r="F57" s="1162">
        <f>SUM(F58:F63)</f>
        <v>505110</v>
      </c>
      <c r="G57" s="1162">
        <f>SUM(G58:G63)</f>
        <v>525314.4</v>
      </c>
      <c r="H57" s="1162">
        <v>433219</v>
      </c>
      <c r="I57" s="1162">
        <f>SUM(I58:I63)</f>
        <v>433086</v>
      </c>
      <c r="J57" s="1162">
        <f t="shared" ref="J57:P57" si="66">SUM(J58:J63)</f>
        <v>436458.96</v>
      </c>
      <c r="K57" s="1162">
        <f t="shared" si="66"/>
        <v>453917.31839999999</v>
      </c>
      <c r="L57" s="1162">
        <f t="shared" si="66"/>
        <v>472074.01113599999</v>
      </c>
      <c r="M57" s="1162">
        <f>SUM(M58:M63)</f>
        <v>490956.68281343998</v>
      </c>
      <c r="N57" s="1162">
        <f>SUM(N58:N63)</f>
        <v>510594.95012597757</v>
      </c>
      <c r="O57" s="1162">
        <f t="shared" si="66"/>
        <v>531018.74813101673</v>
      </c>
      <c r="P57" s="1162">
        <f t="shared" si="66"/>
        <v>552259.49805625738</v>
      </c>
      <c r="Q57" s="1162">
        <f t="shared" ref="Q57:V57" si="67">SUM(Q58:Q63)</f>
        <v>574349.87797850766</v>
      </c>
      <c r="R57" s="1162">
        <f t="shared" si="67"/>
        <v>597323.87309764791</v>
      </c>
      <c r="S57" s="1162">
        <f t="shared" si="67"/>
        <v>621216.82802155393</v>
      </c>
      <c r="T57" s="1162">
        <f t="shared" si="67"/>
        <v>646065.50114241603</v>
      </c>
      <c r="U57" s="1162">
        <f t="shared" si="67"/>
        <v>671908.12118811277</v>
      </c>
      <c r="V57" s="1162">
        <f t="shared" si="67"/>
        <v>698784.44603563729</v>
      </c>
      <c r="W57" s="1162">
        <f>SUM(W58:W63)</f>
        <v>726735.82387706288</v>
      </c>
    </row>
    <row r="58" spans="1:25" ht="22.5">
      <c r="A58" s="56" t="str">
        <f>+Gastos!A77</f>
        <v>14A</v>
      </c>
      <c r="B58" s="1182" t="str">
        <f>+Gastos!C77</f>
        <v xml:space="preserve">      Construcción, reparación y manteniemiento de Planteles para Preescolar, Primaria y Secundaria</v>
      </c>
      <c r="C58" s="1163"/>
      <c r="D58" s="1163"/>
      <c r="E58" s="1163">
        <v>0</v>
      </c>
      <c r="F58" s="1163">
        <v>347111</v>
      </c>
      <c r="G58" s="1163">
        <f t="shared" ref="G58:G63" si="68">+F58*1.04</f>
        <v>360995.44</v>
      </c>
      <c r="H58" s="1163">
        <v>346575.2</v>
      </c>
      <c r="I58" s="1163">
        <f>+'Ingresos Proyecciones'!I49+'Ingresos Proyecciones'!I50</f>
        <v>362599</v>
      </c>
      <c r="J58" s="1163">
        <f>+'Ingresos Proyecciones'!J49+'Ingresos Proyecciones'!J50</f>
        <v>365971.96</v>
      </c>
      <c r="K58" s="1163">
        <f>+'Ingresos Proyecciones'!K49+'Ingresos Proyecciones'!K50</f>
        <v>380610.83840000001</v>
      </c>
      <c r="L58" s="1163">
        <f>+'Ingresos Proyecciones'!L49+'Ingresos Proyecciones'!L50</f>
        <v>395835.27193599998</v>
      </c>
      <c r="M58" s="1163">
        <f>+'Ingresos Proyecciones'!M49+'Ingresos Proyecciones'!M50</f>
        <v>411668.68281343998</v>
      </c>
      <c r="N58" s="1163">
        <f>+'Ingresos Proyecciones'!N49+'Ingresos Proyecciones'!N50</f>
        <v>428135.43012597755</v>
      </c>
      <c r="O58" s="1163">
        <f>+'Ingresos Proyecciones'!O49+'Ingresos Proyecciones'!O50</f>
        <v>445260.84733101667</v>
      </c>
      <c r="P58" s="1163">
        <f>+'Ingresos Proyecciones'!P49+'Ingresos Proyecciones'!P50</f>
        <v>463071.28122425731</v>
      </c>
      <c r="Q58" s="1163">
        <f>+'Ingresos Proyecciones'!Q49+'Ingresos Proyecciones'!Q50</f>
        <v>481594.13247322763</v>
      </c>
      <c r="R58" s="1163">
        <f>+'Ingresos Proyecciones'!R49+'Ingresos Proyecciones'!R50</f>
        <v>500857.89777215675</v>
      </c>
      <c r="S58" s="1163">
        <f>+'Ingresos Proyecciones'!S49+'Ingresos Proyecciones'!S50</f>
        <v>520892.21368304302</v>
      </c>
      <c r="T58" s="1163">
        <f>+'Ingresos Proyecciones'!T49+'Ingresos Proyecciones'!T50</f>
        <v>541727.90223036474</v>
      </c>
      <c r="U58" s="1163">
        <f>+'Ingresos Proyecciones'!U49+'Ingresos Proyecciones'!U50</f>
        <v>563397.01831957942</v>
      </c>
      <c r="V58" s="1163">
        <f>+'Ingresos Proyecciones'!V49+'Ingresos Proyecciones'!V50</f>
        <v>585932.89905236254</v>
      </c>
      <c r="W58" s="1163">
        <f>+'Ingresos Proyecciones'!W49+'Ingresos Proyecciones'!W50</f>
        <v>609370.21501445712</v>
      </c>
      <c r="Y58" s="967"/>
    </row>
    <row r="59" spans="1:25" ht="22.5" hidden="1">
      <c r="A59" s="399" t="str">
        <f>+Gastos!A78</f>
        <v>2231007</v>
      </c>
      <c r="B59" s="1182" t="str">
        <f>+Gastos!C78</f>
        <v xml:space="preserve">      Preinversión: Estudios, Proyectos, Diseños y Asesorías</v>
      </c>
      <c r="C59" s="1163"/>
      <c r="D59" s="1163"/>
      <c r="E59" s="1163"/>
      <c r="F59" s="1163"/>
      <c r="G59" s="1163">
        <f t="shared" si="68"/>
        <v>0</v>
      </c>
      <c r="H59" s="1163">
        <v>0</v>
      </c>
      <c r="I59" s="1163">
        <f>+H59*1.04</f>
        <v>0</v>
      </c>
      <c r="J59" s="1163">
        <f t="shared" ref="J59:U59" si="69">+I59*1.04</f>
        <v>0</v>
      </c>
      <c r="K59" s="1163">
        <f t="shared" si="69"/>
        <v>0</v>
      </c>
      <c r="L59" s="1163">
        <f t="shared" si="69"/>
        <v>0</v>
      </c>
      <c r="M59" s="1163">
        <f t="shared" si="69"/>
        <v>0</v>
      </c>
      <c r="N59" s="1163">
        <f t="shared" si="69"/>
        <v>0</v>
      </c>
      <c r="O59" s="1163">
        <f t="shared" si="69"/>
        <v>0</v>
      </c>
      <c r="P59" s="1163">
        <f t="shared" si="69"/>
        <v>0</v>
      </c>
      <c r="Q59" s="1163">
        <f t="shared" si="69"/>
        <v>0</v>
      </c>
      <c r="R59" s="1163">
        <f t="shared" si="69"/>
        <v>0</v>
      </c>
      <c r="S59" s="1163">
        <f t="shared" si="69"/>
        <v>0</v>
      </c>
      <c r="T59" s="1163">
        <f t="shared" si="69"/>
        <v>0</v>
      </c>
      <c r="U59" s="1163">
        <f t="shared" si="69"/>
        <v>0</v>
      </c>
      <c r="V59" s="1163">
        <f t="shared" ref="V59:W62" si="70">+U59*1.04</f>
        <v>0</v>
      </c>
      <c r="W59" s="1163">
        <f t="shared" si="70"/>
        <v>0</v>
      </c>
    </row>
    <row r="60" spans="1:25" hidden="1">
      <c r="A60" s="399" t="str">
        <f>+Gastos!A79</f>
        <v>2231008</v>
      </c>
      <c r="B60" s="1182" t="str">
        <f>+Gastos!C79</f>
        <v xml:space="preserve">      Pago Personal Docente</v>
      </c>
      <c r="C60" s="1163"/>
      <c r="D60" s="1163"/>
      <c r="E60" s="1163"/>
      <c r="F60" s="1163"/>
      <c r="G60" s="1163">
        <f t="shared" si="68"/>
        <v>0</v>
      </c>
      <c r="H60" s="1163">
        <v>0</v>
      </c>
      <c r="I60" s="1163">
        <f>+H60*1.04</f>
        <v>0</v>
      </c>
      <c r="J60" s="1163">
        <f t="shared" ref="J60:U60" si="71">+I60*1.04</f>
        <v>0</v>
      </c>
      <c r="K60" s="1163">
        <f t="shared" si="71"/>
        <v>0</v>
      </c>
      <c r="L60" s="1163">
        <f t="shared" si="71"/>
        <v>0</v>
      </c>
      <c r="M60" s="1163">
        <f t="shared" si="71"/>
        <v>0</v>
      </c>
      <c r="N60" s="1163">
        <f t="shared" si="71"/>
        <v>0</v>
      </c>
      <c r="O60" s="1163">
        <f t="shared" si="71"/>
        <v>0</v>
      </c>
      <c r="P60" s="1163">
        <f t="shared" si="71"/>
        <v>0</v>
      </c>
      <c r="Q60" s="1163">
        <f t="shared" si="71"/>
        <v>0</v>
      </c>
      <c r="R60" s="1163">
        <f t="shared" si="71"/>
        <v>0</v>
      </c>
      <c r="S60" s="1163">
        <f t="shared" si="71"/>
        <v>0</v>
      </c>
      <c r="T60" s="1163">
        <f t="shared" si="71"/>
        <v>0</v>
      </c>
      <c r="U60" s="1163">
        <f t="shared" si="71"/>
        <v>0</v>
      </c>
      <c r="V60" s="1163">
        <f t="shared" si="70"/>
        <v>0</v>
      </c>
      <c r="W60" s="1163">
        <f t="shared" si="70"/>
        <v>0</v>
      </c>
    </row>
    <row r="61" spans="1:25" ht="22.5" hidden="1">
      <c r="A61" s="399" t="str">
        <f>+Gastos!A80</f>
        <v>2231009</v>
      </c>
      <c r="B61" s="1182" t="str">
        <f>+Gastos!C80</f>
        <v xml:space="preserve">      Aportes de Seguridad Social del Personal del Sector</v>
      </c>
      <c r="C61" s="1163"/>
      <c r="D61" s="1163"/>
      <c r="E61" s="1163"/>
      <c r="F61" s="1163"/>
      <c r="G61" s="1163">
        <f t="shared" si="68"/>
        <v>0</v>
      </c>
      <c r="H61" s="1163">
        <v>0</v>
      </c>
      <c r="I61" s="1163">
        <f>+H61*1.04</f>
        <v>0</v>
      </c>
      <c r="J61" s="1163">
        <f t="shared" ref="J61:U61" si="72">+I61*1.04</f>
        <v>0</v>
      </c>
      <c r="K61" s="1163">
        <f t="shared" si="72"/>
        <v>0</v>
      </c>
      <c r="L61" s="1163">
        <f t="shared" si="72"/>
        <v>0</v>
      </c>
      <c r="M61" s="1163">
        <f t="shared" si="72"/>
        <v>0</v>
      </c>
      <c r="N61" s="1163">
        <f t="shared" si="72"/>
        <v>0</v>
      </c>
      <c r="O61" s="1163">
        <f t="shared" si="72"/>
        <v>0</v>
      </c>
      <c r="P61" s="1163">
        <f t="shared" si="72"/>
        <v>0</v>
      </c>
      <c r="Q61" s="1163">
        <f t="shared" si="72"/>
        <v>0</v>
      </c>
      <c r="R61" s="1163">
        <f t="shared" si="72"/>
        <v>0</v>
      </c>
      <c r="S61" s="1163">
        <f t="shared" si="72"/>
        <v>0</v>
      </c>
      <c r="T61" s="1163">
        <f t="shared" si="72"/>
        <v>0</v>
      </c>
      <c r="U61" s="1163">
        <f t="shared" si="72"/>
        <v>0</v>
      </c>
      <c r="V61" s="1163">
        <f t="shared" si="70"/>
        <v>0</v>
      </c>
      <c r="W61" s="1163">
        <f t="shared" si="70"/>
        <v>0</v>
      </c>
    </row>
    <row r="62" spans="1:25" ht="22.5" hidden="1">
      <c r="A62" s="399" t="str">
        <f>+Gastos!A81</f>
        <v>2231012</v>
      </c>
      <c r="B62" s="1182" t="str">
        <f>+Gastos!C81</f>
        <v xml:space="preserve">      Subsidio para el Acceso de la Población a Servicios Educativos</v>
      </c>
      <c r="C62" s="1163"/>
      <c r="D62" s="1163"/>
      <c r="E62" s="1163"/>
      <c r="F62" s="1163"/>
      <c r="G62" s="1163">
        <f t="shared" si="68"/>
        <v>0</v>
      </c>
      <c r="H62" s="1163">
        <v>0</v>
      </c>
      <c r="I62" s="1163">
        <f>+H62*1.04</f>
        <v>0</v>
      </c>
      <c r="J62" s="1163">
        <f t="shared" ref="J62:U62" si="73">+I62*1.04</f>
        <v>0</v>
      </c>
      <c r="K62" s="1163">
        <f t="shared" si="73"/>
        <v>0</v>
      </c>
      <c r="L62" s="1163">
        <f t="shared" si="73"/>
        <v>0</v>
      </c>
      <c r="M62" s="1163">
        <f t="shared" si="73"/>
        <v>0</v>
      </c>
      <c r="N62" s="1163">
        <f t="shared" si="73"/>
        <v>0</v>
      </c>
      <c r="O62" s="1163">
        <f t="shared" si="73"/>
        <v>0</v>
      </c>
      <c r="P62" s="1163">
        <f t="shared" si="73"/>
        <v>0</v>
      </c>
      <c r="Q62" s="1163">
        <f t="shared" si="73"/>
        <v>0</v>
      </c>
      <c r="R62" s="1163">
        <f t="shared" si="73"/>
        <v>0</v>
      </c>
      <c r="S62" s="1163">
        <f t="shared" si="73"/>
        <v>0</v>
      </c>
      <c r="T62" s="1163">
        <f t="shared" si="73"/>
        <v>0</v>
      </c>
      <c r="U62" s="1163">
        <f t="shared" si="73"/>
        <v>0</v>
      </c>
      <c r="V62" s="1163">
        <f t="shared" si="70"/>
        <v>0</v>
      </c>
      <c r="W62" s="1163">
        <f t="shared" si="70"/>
        <v>0</v>
      </c>
    </row>
    <row r="63" spans="1:25">
      <c r="A63" s="408" t="str">
        <f>+Gastos!A82</f>
        <v>15A</v>
      </c>
      <c r="B63" s="1182" t="s">
        <v>1165</v>
      </c>
      <c r="C63" s="1163"/>
      <c r="D63" s="1163"/>
      <c r="E63" s="1163">
        <v>0</v>
      </c>
      <c r="F63" s="1163">
        <v>157999</v>
      </c>
      <c r="G63" s="1163">
        <f t="shared" si="68"/>
        <v>164318.96</v>
      </c>
      <c r="H63" s="1163">
        <v>86643.8</v>
      </c>
      <c r="I63" s="1163">
        <f>+'Ingresos Proyecciones'!I51</f>
        <v>70487</v>
      </c>
      <c r="J63" s="1163">
        <f>+'Ingresos Proyecciones'!J51</f>
        <v>70487</v>
      </c>
      <c r="K63" s="1163">
        <f>+'Ingresos Proyecciones'!K51</f>
        <v>73306.48</v>
      </c>
      <c r="L63" s="1163">
        <f>+'Ingresos Proyecciones'!L51</f>
        <v>76238.739199999996</v>
      </c>
      <c r="M63" s="1163">
        <f>+'Ingresos Proyecciones'!M64</f>
        <v>79288</v>
      </c>
      <c r="N63" s="1163">
        <f>+'Ingresos Proyecciones'!N64</f>
        <v>82459.520000000004</v>
      </c>
      <c r="O63" s="1163">
        <f>+'Ingresos Proyecciones'!O64</f>
        <v>85757.900800000003</v>
      </c>
      <c r="P63" s="1163">
        <f>+'Ingresos Proyecciones'!P64</f>
        <v>89188.216832000006</v>
      </c>
      <c r="Q63" s="1163">
        <f>+'Ingresos Proyecciones'!Q64</f>
        <v>92755.745505280007</v>
      </c>
      <c r="R63" s="1163">
        <f>+'Ingresos Proyecciones'!R64</f>
        <v>96465.975325491207</v>
      </c>
      <c r="S63" s="1163">
        <f>+'Ingresos Proyecciones'!S64</f>
        <v>100324.61433851086</v>
      </c>
      <c r="T63" s="1163">
        <f>+'Ingresos Proyecciones'!T64</f>
        <v>104337.5989120513</v>
      </c>
      <c r="U63" s="1163">
        <f>+'Ingresos Proyecciones'!U64</f>
        <v>108511.10286853336</v>
      </c>
      <c r="V63" s="1163">
        <f>+'Ingresos Proyecciones'!V64</f>
        <v>112851.5469832747</v>
      </c>
      <c r="W63" s="1163">
        <f>+'Ingresos Proyecciones'!W64</f>
        <v>117365.6088626057</v>
      </c>
    </row>
    <row r="64" spans="1:25">
      <c r="A64" s="409" t="str">
        <f>+Gastos!A83</f>
        <v>22316</v>
      </c>
      <c r="B64" s="1176" t="str">
        <f>+Gastos!C83</f>
        <v xml:space="preserve">   SALUD</v>
      </c>
      <c r="C64" s="1162">
        <f>SUM(C65:C70)</f>
        <v>0</v>
      </c>
      <c r="D64" s="1162">
        <f t="shared" ref="D64:P64" si="74">SUM(D65:D70)</f>
        <v>0</v>
      </c>
      <c r="E64" s="1162">
        <f t="shared" si="74"/>
        <v>0</v>
      </c>
      <c r="F64" s="1162">
        <f t="shared" si="74"/>
        <v>2857410</v>
      </c>
      <c r="G64" s="1162">
        <f t="shared" si="74"/>
        <v>2971706.4</v>
      </c>
      <c r="H64" s="1162">
        <v>2854148</v>
      </c>
      <c r="I64" s="1162">
        <f t="shared" si="74"/>
        <v>2968313</v>
      </c>
      <c r="J64" s="1162">
        <f t="shared" si="74"/>
        <v>2968313</v>
      </c>
      <c r="K64" s="1162">
        <f t="shared" si="74"/>
        <v>3087045.52</v>
      </c>
      <c r="L64" s="1162">
        <f t="shared" si="74"/>
        <v>3210527.3408000004</v>
      </c>
      <c r="M64" s="1162">
        <f>SUM(M65:M70)</f>
        <v>3365948.5624960004</v>
      </c>
      <c r="N64" s="1162">
        <f>SUM(N65:N70)</f>
        <v>3500586.5049958406</v>
      </c>
      <c r="O64" s="1162">
        <f t="shared" si="74"/>
        <v>3640609.9651956744</v>
      </c>
      <c r="P64" s="1162">
        <f t="shared" si="74"/>
        <v>3786234.3638035012</v>
      </c>
      <c r="Q64" s="1162">
        <f t="shared" ref="Q64:V64" si="75">SUM(Q65:Q70)</f>
        <v>3937683.7383556408</v>
      </c>
      <c r="R64" s="1162">
        <f t="shared" si="75"/>
        <v>4095191.0878898674</v>
      </c>
      <c r="S64" s="1162">
        <f t="shared" si="75"/>
        <v>4258998.7314054612</v>
      </c>
      <c r="T64" s="1162">
        <f t="shared" si="75"/>
        <v>4429358.6806616802</v>
      </c>
      <c r="U64" s="1162">
        <f t="shared" si="75"/>
        <v>4606533.0278881472</v>
      </c>
      <c r="V64" s="1162">
        <f t="shared" si="75"/>
        <v>4790794.3490036735</v>
      </c>
      <c r="W64" s="1162">
        <f>SUM(W65:W70)</f>
        <v>4982426.1229638215</v>
      </c>
    </row>
    <row r="65" spans="1:23" ht="22.5" hidden="1">
      <c r="A65" s="397" t="str">
        <f>+Gastos!A84</f>
        <v>16A</v>
      </c>
      <c r="B65" s="1182" t="str">
        <f>+Gastos!C84</f>
        <v xml:space="preserve">      Construcción y mantenimiento de Hospitales y Puestos de Salud</v>
      </c>
      <c r="C65" s="1163"/>
      <c r="D65" s="1163"/>
      <c r="E65" s="1163"/>
      <c r="F65" s="1163">
        <v>0</v>
      </c>
      <c r="G65" s="1163">
        <f t="shared" ref="G65:P65" si="76">+F65*1.04</f>
        <v>0</v>
      </c>
      <c r="H65" s="1163">
        <v>0</v>
      </c>
      <c r="I65" s="1163">
        <f t="shared" si="76"/>
        <v>0</v>
      </c>
      <c r="J65" s="1163">
        <f t="shared" si="76"/>
        <v>0</v>
      </c>
      <c r="K65" s="1163">
        <f t="shared" si="76"/>
        <v>0</v>
      </c>
      <c r="L65" s="1163">
        <f t="shared" si="76"/>
        <v>0</v>
      </c>
      <c r="M65" s="1163">
        <f t="shared" si="76"/>
        <v>0</v>
      </c>
      <c r="N65" s="1163">
        <f t="shared" si="76"/>
        <v>0</v>
      </c>
      <c r="O65" s="1163">
        <f t="shared" si="76"/>
        <v>0</v>
      </c>
      <c r="P65" s="1163">
        <f t="shared" si="76"/>
        <v>0</v>
      </c>
      <c r="Q65" s="1163">
        <f t="shared" ref="Q65:U68" si="77">+P65*1.04</f>
        <v>0</v>
      </c>
      <c r="R65" s="1163">
        <f t="shared" si="77"/>
        <v>0</v>
      </c>
      <c r="S65" s="1163">
        <f t="shared" si="77"/>
        <v>0</v>
      </c>
      <c r="T65" s="1163">
        <f t="shared" si="77"/>
        <v>0</v>
      </c>
      <c r="U65" s="1163">
        <f t="shared" si="77"/>
        <v>0</v>
      </c>
      <c r="V65" s="1163">
        <f t="shared" ref="V65:W68" si="78">+U65*1.04</f>
        <v>0</v>
      </c>
      <c r="W65" s="1163">
        <f t="shared" si="78"/>
        <v>0</v>
      </c>
    </row>
    <row r="66" spans="1:23" ht="22.5" hidden="1">
      <c r="A66" s="399" t="str">
        <f>+Gastos!A85</f>
        <v>2231607</v>
      </c>
      <c r="B66" s="1182" t="str">
        <f>+Gastos!C85</f>
        <v xml:space="preserve">      Preinversión: Estudios, Proyectos, Diseños y Asesorías</v>
      </c>
      <c r="C66" s="1163"/>
      <c r="D66" s="1163"/>
      <c r="E66" s="1163"/>
      <c r="F66" s="1163">
        <v>0</v>
      </c>
      <c r="G66" s="1163">
        <f t="shared" ref="G66:P66" si="79">+F66*1.04</f>
        <v>0</v>
      </c>
      <c r="H66" s="1163">
        <v>0</v>
      </c>
      <c r="I66" s="1163">
        <f t="shared" si="79"/>
        <v>0</v>
      </c>
      <c r="J66" s="1163">
        <f t="shared" si="79"/>
        <v>0</v>
      </c>
      <c r="K66" s="1163">
        <f t="shared" si="79"/>
        <v>0</v>
      </c>
      <c r="L66" s="1163">
        <f t="shared" si="79"/>
        <v>0</v>
      </c>
      <c r="M66" s="1163">
        <f t="shared" si="79"/>
        <v>0</v>
      </c>
      <c r="N66" s="1163">
        <f t="shared" si="79"/>
        <v>0</v>
      </c>
      <c r="O66" s="1163">
        <f t="shared" si="79"/>
        <v>0</v>
      </c>
      <c r="P66" s="1163">
        <f t="shared" si="79"/>
        <v>0</v>
      </c>
      <c r="Q66" s="1163">
        <f t="shared" si="77"/>
        <v>0</v>
      </c>
      <c r="R66" s="1163">
        <f t="shared" si="77"/>
        <v>0</v>
      </c>
      <c r="S66" s="1163">
        <f t="shared" si="77"/>
        <v>0</v>
      </c>
      <c r="T66" s="1163">
        <f t="shared" si="77"/>
        <v>0</v>
      </c>
      <c r="U66" s="1163">
        <f t="shared" si="77"/>
        <v>0</v>
      </c>
      <c r="V66" s="1163">
        <f t="shared" si="78"/>
        <v>0</v>
      </c>
      <c r="W66" s="1163">
        <f t="shared" si="78"/>
        <v>0</v>
      </c>
    </row>
    <row r="67" spans="1:23" hidden="1">
      <c r="A67" s="399" t="str">
        <f>+Gastos!A86</f>
        <v>2231608</v>
      </c>
      <c r="B67" s="1182" t="str">
        <f>+Gastos!C86</f>
        <v xml:space="preserve">      Pagos de Personal del Sector</v>
      </c>
      <c r="C67" s="1163"/>
      <c r="D67" s="1163"/>
      <c r="E67" s="1163"/>
      <c r="F67" s="1163">
        <v>0</v>
      </c>
      <c r="G67" s="1163">
        <f t="shared" ref="G67:P67" si="80">+F67*1.04</f>
        <v>0</v>
      </c>
      <c r="H67" s="1163">
        <v>0</v>
      </c>
      <c r="I67" s="1163">
        <f t="shared" si="80"/>
        <v>0</v>
      </c>
      <c r="J67" s="1163">
        <f t="shared" si="80"/>
        <v>0</v>
      </c>
      <c r="K67" s="1163">
        <f t="shared" si="80"/>
        <v>0</v>
      </c>
      <c r="L67" s="1163">
        <f t="shared" si="80"/>
        <v>0</v>
      </c>
      <c r="M67" s="1163">
        <f t="shared" si="80"/>
        <v>0</v>
      </c>
      <c r="N67" s="1163">
        <f t="shared" si="80"/>
        <v>0</v>
      </c>
      <c r="O67" s="1163">
        <f t="shared" si="80"/>
        <v>0</v>
      </c>
      <c r="P67" s="1163">
        <f t="shared" si="80"/>
        <v>0</v>
      </c>
      <c r="Q67" s="1163">
        <f t="shared" si="77"/>
        <v>0</v>
      </c>
      <c r="R67" s="1163">
        <f t="shared" si="77"/>
        <v>0</v>
      </c>
      <c r="S67" s="1163">
        <f t="shared" si="77"/>
        <v>0</v>
      </c>
      <c r="T67" s="1163">
        <f t="shared" si="77"/>
        <v>0</v>
      </c>
      <c r="U67" s="1163">
        <f t="shared" si="77"/>
        <v>0</v>
      </c>
      <c r="V67" s="1163">
        <f t="shared" si="78"/>
        <v>0</v>
      </c>
      <c r="W67" s="1163">
        <f t="shared" si="78"/>
        <v>0</v>
      </c>
    </row>
    <row r="68" spans="1:23" ht="22.5" hidden="1">
      <c r="A68" s="399" t="str">
        <f>+Gastos!A87</f>
        <v>2231609</v>
      </c>
      <c r="B68" s="1182" t="str">
        <f>+Gastos!C87</f>
        <v xml:space="preserve">      Aportes de Seguridad Social del Personal del Sector</v>
      </c>
      <c r="C68" s="1163"/>
      <c r="D68" s="1163"/>
      <c r="E68" s="1163"/>
      <c r="F68" s="1163">
        <v>0</v>
      </c>
      <c r="G68" s="1163">
        <f t="shared" ref="G68:P68" si="81">+F68*1.04</f>
        <v>0</v>
      </c>
      <c r="H68" s="1163">
        <v>0</v>
      </c>
      <c r="I68" s="1163">
        <f t="shared" si="81"/>
        <v>0</v>
      </c>
      <c r="J68" s="1163">
        <f t="shared" si="81"/>
        <v>0</v>
      </c>
      <c r="K68" s="1163">
        <f t="shared" si="81"/>
        <v>0</v>
      </c>
      <c r="L68" s="1163">
        <f t="shared" si="81"/>
        <v>0</v>
      </c>
      <c r="M68" s="1163">
        <f t="shared" si="81"/>
        <v>0</v>
      </c>
      <c r="N68" s="1163">
        <f t="shared" si="81"/>
        <v>0</v>
      </c>
      <c r="O68" s="1163">
        <f t="shared" si="81"/>
        <v>0</v>
      </c>
      <c r="P68" s="1163">
        <f t="shared" si="81"/>
        <v>0</v>
      </c>
      <c r="Q68" s="1163">
        <f t="shared" si="77"/>
        <v>0</v>
      </c>
      <c r="R68" s="1163">
        <f t="shared" si="77"/>
        <v>0</v>
      </c>
      <c r="S68" s="1163">
        <f t="shared" si="77"/>
        <v>0</v>
      </c>
      <c r="T68" s="1163">
        <f t="shared" si="77"/>
        <v>0</v>
      </c>
      <c r="U68" s="1163">
        <f t="shared" si="77"/>
        <v>0</v>
      </c>
      <c r="V68" s="1163">
        <f t="shared" si="78"/>
        <v>0</v>
      </c>
      <c r="W68" s="1163">
        <f t="shared" si="78"/>
        <v>0</v>
      </c>
    </row>
    <row r="69" spans="1:23" ht="22.5">
      <c r="A69" s="399" t="str">
        <f>+Gastos!A88</f>
        <v>2231612</v>
      </c>
      <c r="B69" s="1182" t="str">
        <f>+Gastos!C88</f>
        <v xml:space="preserve">      Subsidio para el Acceso de la Población a Servicios Medicos</v>
      </c>
      <c r="C69" s="1163"/>
      <c r="D69" s="1163"/>
      <c r="E69" s="1163">
        <v>0</v>
      </c>
      <c r="F69" s="1163">
        <v>2857410</v>
      </c>
      <c r="G69" s="1163">
        <f>+F69*1.04</f>
        <v>2971706.4</v>
      </c>
      <c r="H69" s="1163">
        <v>2854148</v>
      </c>
      <c r="I69" s="1163">
        <f>+'Ingresos Proyecciones'!I53+'Ingresos Proyecciones'!I55+'Ingresos Proyecciones'!I54</f>
        <v>2866231</v>
      </c>
      <c r="J69" s="1163">
        <f>+'Ingresos Proyecciones'!J53+'Ingresos Proyecciones'!J55+'Ingresos Proyecciones'!J54</f>
        <v>2866231</v>
      </c>
      <c r="K69" s="1163">
        <f>+'Ingresos Proyecciones'!K53+'Ingresos Proyecciones'!K55+'Ingresos Proyecciones'!K54</f>
        <v>2980880.24</v>
      </c>
      <c r="L69" s="1163">
        <f>+'Ingresos Proyecciones'!L53+'Ingresos Proyecciones'!L55+'Ingresos Proyecciones'!L54</f>
        <v>3100115.4496000004</v>
      </c>
      <c r="M69" s="1313">
        <f>+('Ingresos Proyecciones'!M53+'Ingresos Proyecciones'!M55+'Ingresos Proyecciones'!M54+'Ingresos Proyecciones'!M68)+('Ingresos Proyecciones'!M67*0.75)</f>
        <v>3251120.1956480006</v>
      </c>
      <c r="N69" s="1163">
        <f>+('Ingresos Proyecciones'!N53+'Ingresos Proyecciones'!N55+'Ingresos Proyecciones'!N54+'Ingresos Proyecciones'!N68)+('Ingresos Proyecciones'!N67*0.75)</f>
        <v>3381165.0034739207</v>
      </c>
      <c r="O69" s="1163">
        <f>+('Ingresos Proyecciones'!O53+'Ingresos Proyecciones'!O55+'Ingresos Proyecciones'!O54+'Ingresos Proyecciones'!O68)+('Ingresos Proyecciones'!O67*0.75)</f>
        <v>3516411.6036128774</v>
      </c>
      <c r="P69" s="1163">
        <f>+('Ingresos Proyecciones'!P53+'Ingresos Proyecciones'!P55+'Ingresos Proyecciones'!P54+'Ingresos Proyecciones'!P68)+('Ingresos Proyecciones'!P67*0.75)</f>
        <v>3657068.0677573928</v>
      </c>
      <c r="Q69" s="1163">
        <f>+('Ingresos Proyecciones'!Q53+'Ingresos Proyecciones'!Q55+'Ingresos Proyecciones'!Q54+'Ingresos Proyecciones'!Q68)+('Ingresos Proyecciones'!Q67*0.75)</f>
        <v>3803350.7904676879</v>
      </c>
      <c r="R69" s="1163">
        <f>+('Ingresos Proyecciones'!R53+'Ingresos Proyecciones'!R55+'Ingresos Proyecciones'!R54+'Ingresos Proyecciones'!R68)+('Ingresos Proyecciones'!R67*0.75)</f>
        <v>3955484.8220863962</v>
      </c>
      <c r="S69" s="1163">
        <f>+('Ingresos Proyecciones'!S53+'Ingresos Proyecciones'!S55+'Ingresos Proyecciones'!S54+'Ingresos Proyecciones'!S68)+('Ingresos Proyecciones'!S67*0.75)</f>
        <v>4113704.2149698515</v>
      </c>
      <c r="T69" s="1163">
        <f>+('Ingresos Proyecciones'!T53+'Ingresos Proyecciones'!T55+'Ingresos Proyecciones'!T54+'Ingresos Proyecciones'!T68)+('Ingresos Proyecciones'!T67*0.75)</f>
        <v>4278252.3835686455</v>
      </c>
      <c r="U69" s="1163">
        <f>+('Ingresos Proyecciones'!U53+'Ingresos Proyecciones'!U55+'Ingresos Proyecciones'!U54+'Ingresos Proyecciones'!U68)+('Ingresos Proyecciones'!U67*0.75)</f>
        <v>4449382.4789113915</v>
      </c>
      <c r="V69" s="1163">
        <f>+('Ingresos Proyecciones'!V53+'Ingresos Proyecciones'!V55+'Ingresos Proyecciones'!V54+'Ingresos Proyecciones'!V68)+('Ingresos Proyecciones'!V67*0.75)</f>
        <v>4627357.7780678477</v>
      </c>
      <c r="W69" s="1163">
        <f>+('Ingresos Proyecciones'!W53+'Ingresos Proyecciones'!W55+'Ingresos Proyecciones'!W54+'Ingresos Proyecciones'!W68)+('Ingresos Proyecciones'!W67*0.75)</f>
        <v>4812452.0891905623</v>
      </c>
    </row>
    <row r="70" spans="1:23" ht="22.5">
      <c r="A70" s="397" t="str">
        <f>+Gastos!A89</f>
        <v>17A</v>
      </c>
      <c r="B70" s="1182" t="s">
        <v>1351</v>
      </c>
      <c r="C70" s="1163"/>
      <c r="D70" s="1163"/>
      <c r="E70" s="1163"/>
      <c r="F70" s="1163">
        <v>0</v>
      </c>
      <c r="G70" s="1163">
        <f>+F70*1.04</f>
        <v>0</v>
      </c>
      <c r="H70" s="1163">
        <v>0</v>
      </c>
      <c r="I70" s="1163">
        <f>+'Ingresos Proyecciones'!I56</f>
        <v>102082</v>
      </c>
      <c r="J70" s="1163">
        <f>+'Ingresos Proyecciones'!J56</f>
        <v>102082</v>
      </c>
      <c r="K70" s="1163">
        <f>+'Ingresos Proyecciones'!K56</f>
        <v>106165.28</v>
      </c>
      <c r="L70" s="1163">
        <f>+'Ingresos Proyecciones'!L56</f>
        <v>110411.8912</v>
      </c>
      <c r="M70" s="1313">
        <f>+'Ingresos Proyecciones'!M56</f>
        <v>114828.36684800001</v>
      </c>
      <c r="N70" s="1163">
        <f>+'Ingresos Proyecciones'!N56</f>
        <v>119421.50152192001</v>
      </c>
      <c r="O70" s="1163">
        <f>+'Ingresos Proyecciones'!O56</f>
        <v>124198.36158279682</v>
      </c>
      <c r="P70" s="1163">
        <f>+'Ingresos Proyecciones'!P56</f>
        <v>129166.29604610869</v>
      </c>
      <c r="Q70" s="1163">
        <f>+'Ingresos Proyecciones'!Q56</f>
        <v>134332.94788795305</v>
      </c>
      <c r="R70" s="1163">
        <f>+'Ingresos Proyecciones'!R56</f>
        <v>139706.26580347118</v>
      </c>
      <c r="S70" s="1163">
        <f>+'Ingresos Proyecciones'!S56</f>
        <v>145294.51643561004</v>
      </c>
      <c r="T70" s="1163">
        <f>+'Ingresos Proyecciones'!T56</f>
        <v>151106.29709303446</v>
      </c>
      <c r="U70" s="1163">
        <f>+'Ingresos Proyecciones'!U56</f>
        <v>157150.54897675585</v>
      </c>
      <c r="V70" s="1163">
        <f>+'Ingresos Proyecciones'!V56</f>
        <v>163436.57093582608</v>
      </c>
      <c r="W70" s="1163">
        <f>+'Ingresos Proyecciones'!W56</f>
        <v>169974.03377325911</v>
      </c>
    </row>
    <row r="71" spans="1:23" ht="39.75" customHeight="1">
      <c r="A71" s="397" t="str">
        <f>+Gastos!A90</f>
        <v>50A</v>
      </c>
      <c r="B71" s="1180" t="str">
        <f>+Gastos!C90</f>
        <v xml:space="preserve">  CON RECURSOS DE PARTICIPACIONES DE PROPOSITO GENERAL - SGP</v>
      </c>
      <c r="C71" s="1162">
        <f>+C72+C86+C93</f>
        <v>0</v>
      </c>
      <c r="D71" s="1162">
        <f t="shared" ref="D71:L71" si="82">+D72+D86+D93</f>
        <v>0</v>
      </c>
      <c r="E71" s="1162">
        <f t="shared" si="82"/>
        <v>0</v>
      </c>
      <c r="F71" s="1162">
        <f t="shared" si="82"/>
        <v>1531333</v>
      </c>
      <c r="G71" s="1162">
        <f t="shared" si="82"/>
        <v>1571443.6400000001</v>
      </c>
      <c r="H71" s="1162">
        <v>1067763</v>
      </c>
      <c r="I71" s="1162">
        <f t="shared" si="82"/>
        <v>1232498</v>
      </c>
      <c r="J71" s="1162">
        <f t="shared" si="82"/>
        <v>1020764</v>
      </c>
      <c r="K71" s="1162">
        <f t="shared" si="82"/>
        <v>1245914.56</v>
      </c>
      <c r="L71" s="1162">
        <f t="shared" si="82"/>
        <v>1069110.8544000001</v>
      </c>
      <c r="M71" s="1162">
        <f>+M72+M86+M93+M182</f>
        <v>1438435.5880960003</v>
      </c>
      <c r="N71" s="1162">
        <f>+N72+N86+N93+N182</f>
        <v>1495973.0116198403</v>
      </c>
      <c r="O71" s="1162">
        <f t="shared" ref="O71:W71" si="83">+O72+O86+O93+O182</f>
        <v>1555811.932084634</v>
      </c>
      <c r="P71" s="1162">
        <f t="shared" si="83"/>
        <v>1618044.4093680193</v>
      </c>
      <c r="Q71" s="1162">
        <f t="shared" si="83"/>
        <v>1682766.1857427401</v>
      </c>
      <c r="R71" s="1162">
        <f t="shared" si="83"/>
        <v>1750076.8331724496</v>
      </c>
      <c r="S71" s="1162">
        <f t="shared" si="83"/>
        <v>1820079.9064993476</v>
      </c>
      <c r="T71" s="1162">
        <f t="shared" si="83"/>
        <v>1892883.1027593217</v>
      </c>
      <c r="U71" s="1162">
        <f t="shared" si="83"/>
        <v>1968598.4268696946</v>
      </c>
      <c r="V71" s="1162">
        <f t="shared" si="83"/>
        <v>2047342.3639444823</v>
      </c>
      <c r="W71" s="1162">
        <f t="shared" si="83"/>
        <v>2129236.0585022615</v>
      </c>
    </row>
    <row r="72" spans="1:23" ht="24.75" hidden="1" customHeight="1">
      <c r="A72" s="409" t="str">
        <f>+Gastos!A91</f>
        <v>51A</v>
      </c>
      <c r="B72" s="1180" t="str">
        <f>+Gastos!C91</f>
        <v xml:space="preserve">    Pagos de personal y aportes a la seguridad  social</v>
      </c>
      <c r="C72" s="1162">
        <f>SUM(C73:C85)</f>
        <v>0</v>
      </c>
      <c r="D72" s="1162">
        <f t="shared" ref="D72:P72" si="84">SUM(D73:D85)</f>
        <v>0</v>
      </c>
      <c r="E72" s="1162">
        <f t="shared" si="84"/>
        <v>0</v>
      </c>
      <c r="F72" s="1162">
        <f t="shared" si="84"/>
        <v>0</v>
      </c>
      <c r="G72" s="1162">
        <f t="shared" si="84"/>
        <v>0</v>
      </c>
      <c r="H72" s="1162">
        <v>0</v>
      </c>
      <c r="I72" s="1162">
        <f t="shared" si="84"/>
        <v>0</v>
      </c>
      <c r="J72" s="1162">
        <f t="shared" si="84"/>
        <v>0</v>
      </c>
      <c r="K72" s="1162">
        <f t="shared" si="84"/>
        <v>0</v>
      </c>
      <c r="L72" s="1162">
        <f t="shared" si="84"/>
        <v>0</v>
      </c>
      <c r="M72" s="1162">
        <f t="shared" si="84"/>
        <v>0</v>
      </c>
      <c r="N72" s="1162">
        <f t="shared" si="84"/>
        <v>0</v>
      </c>
      <c r="O72" s="1162">
        <f t="shared" si="84"/>
        <v>0</v>
      </c>
      <c r="P72" s="1162">
        <f t="shared" si="84"/>
        <v>0</v>
      </c>
      <c r="Q72" s="1162">
        <f t="shared" ref="Q72:V72" si="85">SUM(Q73:Q85)</f>
        <v>0</v>
      </c>
      <c r="R72" s="1162">
        <f t="shared" si="85"/>
        <v>0</v>
      </c>
      <c r="S72" s="1162">
        <f t="shared" si="85"/>
        <v>0</v>
      </c>
      <c r="T72" s="1162">
        <f t="shared" si="85"/>
        <v>0</v>
      </c>
      <c r="U72" s="1162">
        <f t="shared" si="85"/>
        <v>0</v>
      </c>
      <c r="V72" s="1162">
        <f t="shared" si="85"/>
        <v>0</v>
      </c>
      <c r="W72" s="1162">
        <f>SUM(W73:W85)</f>
        <v>0</v>
      </c>
    </row>
    <row r="73" spans="1:23" hidden="1">
      <c r="A73" s="409" t="str">
        <f>+Gastos!A92</f>
        <v>52A</v>
      </c>
      <c r="B73" s="1182" t="str">
        <f>+Gastos!C92</f>
        <v xml:space="preserve">       Agua Potable y Saneamiento Básico</v>
      </c>
      <c r="C73" s="1163"/>
      <c r="D73" s="1163"/>
      <c r="E73" s="1163"/>
      <c r="F73" s="1163"/>
      <c r="G73" s="1163">
        <f t="shared" ref="G73:P73" si="86">+F73*1.04</f>
        <v>0</v>
      </c>
      <c r="H73" s="1163">
        <v>0</v>
      </c>
      <c r="I73" s="1163"/>
      <c r="J73" s="1163">
        <f t="shared" si="86"/>
        <v>0</v>
      </c>
      <c r="K73" s="1163">
        <f t="shared" si="86"/>
        <v>0</v>
      </c>
      <c r="L73" s="1163">
        <f t="shared" si="86"/>
        <v>0</v>
      </c>
      <c r="M73" s="1163">
        <f t="shared" si="86"/>
        <v>0</v>
      </c>
      <c r="N73" s="1163">
        <f t="shared" si="86"/>
        <v>0</v>
      </c>
      <c r="O73" s="1163">
        <f t="shared" si="86"/>
        <v>0</v>
      </c>
      <c r="P73" s="1163">
        <f t="shared" si="86"/>
        <v>0</v>
      </c>
      <c r="Q73" s="1163">
        <f t="shared" ref="Q73:U85" si="87">+P73*1.04</f>
        <v>0</v>
      </c>
      <c r="R73" s="1163">
        <f t="shared" si="87"/>
        <v>0</v>
      </c>
      <c r="S73" s="1163">
        <f t="shared" si="87"/>
        <v>0</v>
      </c>
      <c r="T73" s="1163">
        <f t="shared" si="87"/>
        <v>0</v>
      </c>
      <c r="U73" s="1163">
        <f t="shared" si="87"/>
        <v>0</v>
      </c>
      <c r="V73" s="1163">
        <f t="shared" ref="V73:W85" si="88">+U73*1.04</f>
        <v>0</v>
      </c>
      <c r="W73" s="1163">
        <f t="shared" si="88"/>
        <v>0</v>
      </c>
    </row>
    <row r="74" spans="1:23" hidden="1">
      <c r="A74" s="409" t="str">
        <f>+Gastos!A93</f>
        <v>53A</v>
      </c>
      <c r="B74" s="1182" t="str">
        <f>+Gastos!C93</f>
        <v xml:space="preserve">       Infraestructura Vial </v>
      </c>
      <c r="C74" s="1163"/>
      <c r="D74" s="1163"/>
      <c r="E74" s="1163"/>
      <c r="F74" s="1163"/>
      <c r="G74" s="1163">
        <f t="shared" ref="G74:P74" si="89">+F74*1.04</f>
        <v>0</v>
      </c>
      <c r="H74" s="1163">
        <v>0</v>
      </c>
      <c r="I74" s="1163"/>
      <c r="J74" s="1163">
        <f t="shared" si="89"/>
        <v>0</v>
      </c>
      <c r="K74" s="1163">
        <f t="shared" si="89"/>
        <v>0</v>
      </c>
      <c r="L74" s="1163">
        <f t="shared" si="89"/>
        <v>0</v>
      </c>
      <c r="M74" s="1163">
        <f t="shared" si="89"/>
        <v>0</v>
      </c>
      <c r="N74" s="1163">
        <f t="shared" si="89"/>
        <v>0</v>
      </c>
      <c r="O74" s="1163">
        <f t="shared" si="89"/>
        <v>0</v>
      </c>
      <c r="P74" s="1163">
        <f t="shared" si="89"/>
        <v>0</v>
      </c>
      <c r="Q74" s="1163">
        <f t="shared" si="87"/>
        <v>0</v>
      </c>
      <c r="R74" s="1163">
        <f t="shared" si="87"/>
        <v>0</v>
      </c>
      <c r="S74" s="1163">
        <f t="shared" si="87"/>
        <v>0</v>
      </c>
      <c r="T74" s="1163">
        <f t="shared" si="87"/>
        <v>0</v>
      </c>
      <c r="U74" s="1163">
        <f t="shared" si="87"/>
        <v>0</v>
      </c>
      <c r="V74" s="1163">
        <f t="shared" si="88"/>
        <v>0</v>
      </c>
      <c r="W74" s="1163">
        <f t="shared" si="88"/>
        <v>0</v>
      </c>
    </row>
    <row r="75" spans="1:23" hidden="1">
      <c r="A75" s="409" t="str">
        <f>+Gastos!A94</f>
        <v>54A</v>
      </c>
      <c r="B75" s="1182" t="str">
        <f>+Gastos!C94</f>
        <v xml:space="preserve">       Vivienda</v>
      </c>
      <c r="C75" s="1163"/>
      <c r="D75" s="1163"/>
      <c r="E75" s="1163"/>
      <c r="F75" s="1163"/>
      <c r="G75" s="1163">
        <f t="shared" ref="G75:P75" si="90">+F75*1.04</f>
        <v>0</v>
      </c>
      <c r="H75" s="1163">
        <v>0</v>
      </c>
      <c r="I75" s="1163"/>
      <c r="J75" s="1163">
        <f t="shared" si="90"/>
        <v>0</v>
      </c>
      <c r="K75" s="1163">
        <f t="shared" si="90"/>
        <v>0</v>
      </c>
      <c r="L75" s="1163">
        <f t="shared" si="90"/>
        <v>0</v>
      </c>
      <c r="M75" s="1163">
        <f t="shared" si="90"/>
        <v>0</v>
      </c>
      <c r="N75" s="1163">
        <f t="shared" si="90"/>
        <v>0</v>
      </c>
      <c r="O75" s="1163">
        <f t="shared" si="90"/>
        <v>0</v>
      </c>
      <c r="P75" s="1163">
        <f t="shared" si="90"/>
        <v>0</v>
      </c>
      <c r="Q75" s="1163">
        <f t="shared" si="87"/>
        <v>0</v>
      </c>
      <c r="R75" s="1163">
        <f t="shared" si="87"/>
        <v>0</v>
      </c>
      <c r="S75" s="1163">
        <f t="shared" si="87"/>
        <v>0</v>
      </c>
      <c r="T75" s="1163">
        <f t="shared" si="87"/>
        <v>0</v>
      </c>
      <c r="U75" s="1163">
        <f t="shared" si="87"/>
        <v>0</v>
      </c>
      <c r="V75" s="1163">
        <f t="shared" si="88"/>
        <v>0</v>
      </c>
      <c r="W75" s="1163">
        <f t="shared" si="88"/>
        <v>0</v>
      </c>
    </row>
    <row r="76" spans="1:23" hidden="1">
      <c r="A76" s="409" t="str">
        <f>+Gastos!A95</f>
        <v>55A</v>
      </c>
      <c r="B76" s="1182" t="str">
        <f>+Gastos!C95</f>
        <v xml:space="preserve">       Educación</v>
      </c>
      <c r="C76" s="1163"/>
      <c r="D76" s="1163"/>
      <c r="E76" s="1163"/>
      <c r="F76" s="1163"/>
      <c r="G76" s="1163">
        <f t="shared" ref="G76:P76" si="91">+F76*1.04</f>
        <v>0</v>
      </c>
      <c r="H76" s="1163">
        <v>0</v>
      </c>
      <c r="I76" s="1163"/>
      <c r="J76" s="1163">
        <f t="shared" si="91"/>
        <v>0</v>
      </c>
      <c r="K76" s="1163">
        <f t="shared" si="91"/>
        <v>0</v>
      </c>
      <c r="L76" s="1163">
        <f t="shared" si="91"/>
        <v>0</v>
      </c>
      <c r="M76" s="1163">
        <f t="shared" si="91"/>
        <v>0</v>
      </c>
      <c r="N76" s="1163">
        <f t="shared" si="91"/>
        <v>0</v>
      </c>
      <c r="O76" s="1163">
        <f t="shared" si="91"/>
        <v>0</v>
      </c>
      <c r="P76" s="1163">
        <f t="shared" si="91"/>
        <v>0</v>
      </c>
      <c r="Q76" s="1163">
        <f t="shared" si="87"/>
        <v>0</v>
      </c>
      <c r="R76" s="1163">
        <f t="shared" si="87"/>
        <v>0</v>
      </c>
      <c r="S76" s="1163">
        <f t="shared" si="87"/>
        <v>0</v>
      </c>
      <c r="T76" s="1163">
        <f t="shared" si="87"/>
        <v>0</v>
      </c>
      <c r="U76" s="1163">
        <f t="shared" si="87"/>
        <v>0</v>
      </c>
      <c r="V76" s="1163">
        <f t="shared" si="88"/>
        <v>0</v>
      </c>
      <c r="W76" s="1163">
        <f t="shared" si="88"/>
        <v>0</v>
      </c>
    </row>
    <row r="77" spans="1:23" hidden="1">
      <c r="A77" s="409" t="str">
        <f>+Gastos!A96</f>
        <v>56A</v>
      </c>
      <c r="B77" s="1182" t="str">
        <f>+Gastos!C96</f>
        <v xml:space="preserve">       Educación Física, Deporte y Recreación</v>
      </c>
      <c r="C77" s="1163"/>
      <c r="D77" s="1163"/>
      <c r="E77" s="1163"/>
      <c r="F77" s="1163"/>
      <c r="G77" s="1163">
        <f t="shared" ref="G77:P77" si="92">+F77*1.04</f>
        <v>0</v>
      </c>
      <c r="H77" s="1163">
        <v>0</v>
      </c>
      <c r="I77" s="1163"/>
      <c r="J77" s="1163">
        <f t="shared" si="92"/>
        <v>0</v>
      </c>
      <c r="K77" s="1163">
        <f t="shared" si="92"/>
        <v>0</v>
      </c>
      <c r="L77" s="1163">
        <f t="shared" si="92"/>
        <v>0</v>
      </c>
      <c r="M77" s="1163">
        <f t="shared" si="92"/>
        <v>0</v>
      </c>
      <c r="N77" s="1163">
        <f t="shared" si="92"/>
        <v>0</v>
      </c>
      <c r="O77" s="1163">
        <f t="shared" si="92"/>
        <v>0</v>
      </c>
      <c r="P77" s="1163">
        <f t="shared" si="92"/>
        <v>0</v>
      </c>
      <c r="Q77" s="1163">
        <f t="shared" si="87"/>
        <v>0</v>
      </c>
      <c r="R77" s="1163">
        <f t="shared" si="87"/>
        <v>0</v>
      </c>
      <c r="S77" s="1163">
        <f t="shared" si="87"/>
        <v>0</v>
      </c>
      <c r="T77" s="1163">
        <f t="shared" si="87"/>
        <v>0</v>
      </c>
      <c r="U77" s="1163">
        <f t="shared" si="87"/>
        <v>0</v>
      </c>
      <c r="V77" s="1163">
        <f t="shared" si="88"/>
        <v>0</v>
      </c>
      <c r="W77" s="1163">
        <f t="shared" si="88"/>
        <v>0</v>
      </c>
    </row>
    <row r="78" spans="1:23" hidden="1">
      <c r="A78" s="409" t="str">
        <f>+Gastos!A97</f>
        <v>57A</v>
      </c>
      <c r="B78" s="1182" t="str">
        <f>+Gastos!C97</f>
        <v xml:space="preserve">       Salud</v>
      </c>
      <c r="C78" s="1163"/>
      <c r="D78" s="1163"/>
      <c r="E78" s="1163"/>
      <c r="F78" s="1163"/>
      <c r="G78" s="1163">
        <f t="shared" ref="G78:P78" si="93">+F78*1.04</f>
        <v>0</v>
      </c>
      <c r="H78" s="1163">
        <v>0</v>
      </c>
      <c r="I78" s="1163"/>
      <c r="J78" s="1163">
        <f t="shared" si="93"/>
        <v>0</v>
      </c>
      <c r="K78" s="1163">
        <f t="shared" si="93"/>
        <v>0</v>
      </c>
      <c r="L78" s="1163">
        <f t="shared" si="93"/>
        <v>0</v>
      </c>
      <c r="M78" s="1163">
        <f t="shared" si="93"/>
        <v>0</v>
      </c>
      <c r="N78" s="1163">
        <f t="shared" si="93"/>
        <v>0</v>
      </c>
      <c r="O78" s="1163">
        <f t="shared" si="93"/>
        <v>0</v>
      </c>
      <c r="P78" s="1163">
        <f t="shared" si="93"/>
        <v>0</v>
      </c>
      <c r="Q78" s="1163">
        <f t="shared" si="87"/>
        <v>0</v>
      </c>
      <c r="R78" s="1163">
        <f t="shared" si="87"/>
        <v>0</v>
      </c>
      <c r="S78" s="1163">
        <f t="shared" si="87"/>
        <v>0</v>
      </c>
      <c r="T78" s="1163">
        <f t="shared" si="87"/>
        <v>0</v>
      </c>
      <c r="U78" s="1163">
        <f t="shared" si="87"/>
        <v>0</v>
      </c>
      <c r="V78" s="1163">
        <f t="shared" si="88"/>
        <v>0</v>
      </c>
      <c r="W78" s="1163">
        <f t="shared" si="88"/>
        <v>0</v>
      </c>
    </row>
    <row r="79" spans="1:23" hidden="1">
      <c r="A79" s="409" t="str">
        <f>+Gastos!A98</f>
        <v>58A</v>
      </c>
      <c r="B79" s="1182" t="str">
        <f>+Gastos!C98</f>
        <v xml:space="preserve">       Cultura</v>
      </c>
      <c r="C79" s="1163"/>
      <c r="D79" s="1163"/>
      <c r="E79" s="1163"/>
      <c r="F79" s="1163"/>
      <c r="G79" s="1163">
        <f t="shared" ref="G79:P79" si="94">+F79*1.04</f>
        <v>0</v>
      </c>
      <c r="H79" s="1163">
        <v>0</v>
      </c>
      <c r="I79" s="1163"/>
      <c r="J79" s="1163">
        <f t="shared" si="94"/>
        <v>0</v>
      </c>
      <c r="K79" s="1163">
        <f t="shared" si="94"/>
        <v>0</v>
      </c>
      <c r="L79" s="1163">
        <f t="shared" si="94"/>
        <v>0</v>
      </c>
      <c r="M79" s="1163">
        <f t="shared" si="94"/>
        <v>0</v>
      </c>
      <c r="N79" s="1163">
        <f t="shared" si="94"/>
        <v>0</v>
      </c>
      <c r="O79" s="1163">
        <f t="shared" si="94"/>
        <v>0</v>
      </c>
      <c r="P79" s="1163">
        <f t="shared" si="94"/>
        <v>0</v>
      </c>
      <c r="Q79" s="1163">
        <f t="shared" si="87"/>
        <v>0</v>
      </c>
      <c r="R79" s="1163">
        <f t="shared" si="87"/>
        <v>0</v>
      </c>
      <c r="S79" s="1163">
        <f t="shared" si="87"/>
        <v>0</v>
      </c>
      <c r="T79" s="1163">
        <f t="shared" si="87"/>
        <v>0</v>
      </c>
      <c r="U79" s="1163">
        <f t="shared" si="87"/>
        <v>0</v>
      </c>
      <c r="V79" s="1163">
        <f t="shared" si="88"/>
        <v>0</v>
      </c>
      <c r="W79" s="1163">
        <f t="shared" si="88"/>
        <v>0</v>
      </c>
    </row>
    <row r="80" spans="1:23" hidden="1">
      <c r="A80" s="409" t="str">
        <f>+Gastos!A99</f>
        <v>59A</v>
      </c>
      <c r="B80" s="1182" t="str">
        <f>+Gastos!C99</f>
        <v xml:space="preserve">       Sector Energético</v>
      </c>
      <c r="C80" s="1163"/>
      <c r="D80" s="1163"/>
      <c r="E80" s="1163"/>
      <c r="F80" s="1163"/>
      <c r="G80" s="1163">
        <f t="shared" ref="G80:P80" si="95">+F80*1.04</f>
        <v>0</v>
      </c>
      <c r="H80" s="1163">
        <v>0</v>
      </c>
      <c r="I80" s="1163"/>
      <c r="J80" s="1163">
        <f t="shared" si="95"/>
        <v>0</v>
      </c>
      <c r="K80" s="1163">
        <f t="shared" si="95"/>
        <v>0</v>
      </c>
      <c r="L80" s="1163">
        <f t="shared" si="95"/>
        <v>0</v>
      </c>
      <c r="M80" s="1163">
        <f t="shared" si="95"/>
        <v>0</v>
      </c>
      <c r="N80" s="1163">
        <f t="shared" si="95"/>
        <v>0</v>
      </c>
      <c r="O80" s="1163">
        <f t="shared" si="95"/>
        <v>0</v>
      </c>
      <c r="P80" s="1163">
        <f t="shared" si="95"/>
        <v>0</v>
      </c>
      <c r="Q80" s="1163">
        <f t="shared" si="87"/>
        <v>0</v>
      </c>
      <c r="R80" s="1163">
        <f t="shared" si="87"/>
        <v>0</v>
      </c>
      <c r="S80" s="1163">
        <f t="shared" si="87"/>
        <v>0</v>
      </c>
      <c r="T80" s="1163">
        <f t="shared" si="87"/>
        <v>0</v>
      </c>
      <c r="U80" s="1163">
        <f t="shared" si="87"/>
        <v>0</v>
      </c>
      <c r="V80" s="1163">
        <f t="shared" si="88"/>
        <v>0</v>
      </c>
      <c r="W80" s="1163">
        <f t="shared" si="88"/>
        <v>0</v>
      </c>
    </row>
    <row r="81" spans="1:23" hidden="1">
      <c r="A81" s="409" t="str">
        <f>+Gastos!A100</f>
        <v>60A</v>
      </c>
      <c r="B81" s="1182" t="str">
        <f>+Gastos!C100</f>
        <v xml:space="preserve">       Desarrollo Agropecuario y Minero</v>
      </c>
      <c r="C81" s="1163"/>
      <c r="D81" s="1163"/>
      <c r="E81" s="1163"/>
      <c r="F81" s="1163"/>
      <c r="G81" s="1163">
        <f t="shared" ref="G81:P81" si="96">+F81*1.04</f>
        <v>0</v>
      </c>
      <c r="H81" s="1163">
        <v>0</v>
      </c>
      <c r="I81" s="1163"/>
      <c r="J81" s="1163">
        <f t="shared" si="96"/>
        <v>0</v>
      </c>
      <c r="K81" s="1163">
        <f t="shared" si="96"/>
        <v>0</v>
      </c>
      <c r="L81" s="1163">
        <f t="shared" si="96"/>
        <v>0</v>
      </c>
      <c r="M81" s="1163">
        <f t="shared" si="96"/>
        <v>0</v>
      </c>
      <c r="N81" s="1163">
        <f t="shared" si="96"/>
        <v>0</v>
      </c>
      <c r="O81" s="1163">
        <f t="shared" si="96"/>
        <v>0</v>
      </c>
      <c r="P81" s="1163">
        <f t="shared" si="96"/>
        <v>0</v>
      </c>
      <c r="Q81" s="1163">
        <f t="shared" si="87"/>
        <v>0</v>
      </c>
      <c r="R81" s="1163">
        <f t="shared" si="87"/>
        <v>0</v>
      </c>
      <c r="S81" s="1163">
        <f t="shared" si="87"/>
        <v>0</v>
      </c>
      <c r="T81" s="1163">
        <f t="shared" si="87"/>
        <v>0</v>
      </c>
      <c r="U81" s="1163">
        <f t="shared" si="87"/>
        <v>0</v>
      </c>
      <c r="V81" s="1163">
        <f t="shared" si="88"/>
        <v>0</v>
      </c>
      <c r="W81" s="1163">
        <f t="shared" si="88"/>
        <v>0</v>
      </c>
    </row>
    <row r="82" spans="1:23" hidden="1">
      <c r="A82" s="409" t="str">
        <f>+Gastos!A101</f>
        <v>61A</v>
      </c>
      <c r="B82" s="1182" t="str">
        <f>+Gastos!C101</f>
        <v xml:space="preserve">       Infraestructura Urbana</v>
      </c>
      <c r="C82" s="1163"/>
      <c r="D82" s="1163"/>
      <c r="E82" s="1163"/>
      <c r="F82" s="1163"/>
      <c r="G82" s="1163">
        <f t="shared" ref="G82:P82" si="97">+F82*1.04</f>
        <v>0</v>
      </c>
      <c r="H82" s="1163">
        <v>0</v>
      </c>
      <c r="I82" s="1163"/>
      <c r="J82" s="1163">
        <f t="shared" si="97"/>
        <v>0</v>
      </c>
      <c r="K82" s="1163">
        <f t="shared" si="97"/>
        <v>0</v>
      </c>
      <c r="L82" s="1163">
        <f t="shared" si="97"/>
        <v>0</v>
      </c>
      <c r="M82" s="1163">
        <f t="shared" si="97"/>
        <v>0</v>
      </c>
      <c r="N82" s="1163">
        <f t="shared" si="97"/>
        <v>0</v>
      </c>
      <c r="O82" s="1163">
        <f t="shared" si="97"/>
        <v>0</v>
      </c>
      <c r="P82" s="1163">
        <f t="shared" si="97"/>
        <v>0</v>
      </c>
      <c r="Q82" s="1163">
        <f t="shared" si="87"/>
        <v>0</v>
      </c>
      <c r="R82" s="1163">
        <f t="shared" si="87"/>
        <v>0</v>
      </c>
      <c r="S82" s="1163">
        <f t="shared" si="87"/>
        <v>0</v>
      </c>
      <c r="T82" s="1163">
        <f t="shared" si="87"/>
        <v>0</v>
      </c>
      <c r="U82" s="1163">
        <f t="shared" si="87"/>
        <v>0</v>
      </c>
      <c r="V82" s="1163">
        <f t="shared" si="88"/>
        <v>0</v>
      </c>
      <c r="W82" s="1163">
        <f t="shared" si="88"/>
        <v>0</v>
      </c>
    </row>
    <row r="83" spans="1:23" hidden="1">
      <c r="A83" s="409" t="str">
        <f>+Gastos!A102</f>
        <v>62A</v>
      </c>
      <c r="B83" s="1182" t="str">
        <f>+Gastos!C102</f>
        <v xml:space="preserve">       Desarrollo de la comunidad</v>
      </c>
      <c r="C83" s="1163"/>
      <c r="D83" s="1163"/>
      <c r="E83" s="1163"/>
      <c r="F83" s="1163"/>
      <c r="G83" s="1163">
        <f t="shared" ref="G83:P83" si="98">+F83*1.04</f>
        <v>0</v>
      </c>
      <c r="H83" s="1163">
        <v>0</v>
      </c>
      <c r="I83" s="1163"/>
      <c r="J83" s="1163">
        <f t="shared" si="98"/>
        <v>0</v>
      </c>
      <c r="K83" s="1163">
        <f t="shared" si="98"/>
        <v>0</v>
      </c>
      <c r="L83" s="1163">
        <f t="shared" si="98"/>
        <v>0</v>
      </c>
      <c r="M83" s="1163">
        <f t="shared" si="98"/>
        <v>0</v>
      </c>
      <c r="N83" s="1163">
        <f t="shared" si="98"/>
        <v>0</v>
      </c>
      <c r="O83" s="1163">
        <f t="shared" si="98"/>
        <v>0</v>
      </c>
      <c r="P83" s="1163">
        <f t="shared" si="98"/>
        <v>0</v>
      </c>
      <c r="Q83" s="1163">
        <f t="shared" si="87"/>
        <v>0</v>
      </c>
      <c r="R83" s="1163">
        <f t="shared" si="87"/>
        <v>0</v>
      </c>
      <c r="S83" s="1163">
        <f t="shared" si="87"/>
        <v>0</v>
      </c>
      <c r="T83" s="1163">
        <f t="shared" si="87"/>
        <v>0</v>
      </c>
      <c r="U83" s="1163">
        <f t="shared" si="87"/>
        <v>0</v>
      </c>
      <c r="V83" s="1163">
        <f t="shared" si="88"/>
        <v>0</v>
      </c>
      <c r="W83" s="1163">
        <f t="shared" si="88"/>
        <v>0</v>
      </c>
    </row>
    <row r="84" spans="1:23" hidden="1">
      <c r="A84" s="409" t="str">
        <f>+Gastos!A103</f>
        <v>63A</v>
      </c>
      <c r="B84" s="1182" t="str">
        <f>+Gastos!C103</f>
        <v xml:space="preserve">       Justicia, defensa y seguridad</v>
      </c>
      <c r="C84" s="1163"/>
      <c r="D84" s="1163"/>
      <c r="E84" s="1163"/>
      <c r="F84" s="1163"/>
      <c r="G84" s="1163">
        <f t="shared" ref="G84:P84" si="99">+F84*1.04</f>
        <v>0</v>
      </c>
      <c r="H84" s="1163">
        <v>0</v>
      </c>
      <c r="I84" s="1163"/>
      <c r="J84" s="1163">
        <f t="shared" si="99"/>
        <v>0</v>
      </c>
      <c r="K84" s="1163">
        <f t="shared" si="99"/>
        <v>0</v>
      </c>
      <c r="L84" s="1163">
        <f t="shared" si="99"/>
        <v>0</v>
      </c>
      <c r="M84" s="1163">
        <f t="shared" si="99"/>
        <v>0</v>
      </c>
      <c r="N84" s="1163">
        <f t="shared" si="99"/>
        <v>0</v>
      </c>
      <c r="O84" s="1163">
        <f t="shared" si="99"/>
        <v>0</v>
      </c>
      <c r="P84" s="1163">
        <f t="shared" si="99"/>
        <v>0</v>
      </c>
      <c r="Q84" s="1163">
        <f t="shared" si="87"/>
        <v>0</v>
      </c>
      <c r="R84" s="1163">
        <f t="shared" si="87"/>
        <v>0</v>
      </c>
      <c r="S84" s="1163">
        <f t="shared" si="87"/>
        <v>0</v>
      </c>
      <c r="T84" s="1163">
        <f t="shared" si="87"/>
        <v>0</v>
      </c>
      <c r="U84" s="1163">
        <f t="shared" si="87"/>
        <v>0</v>
      </c>
      <c r="V84" s="1163">
        <f t="shared" si="88"/>
        <v>0</v>
      </c>
      <c r="W84" s="1163">
        <f t="shared" si="88"/>
        <v>0</v>
      </c>
    </row>
    <row r="85" spans="1:23" hidden="1">
      <c r="A85" s="409" t="str">
        <f>+Gastos!A104</f>
        <v>64A</v>
      </c>
      <c r="B85" s="1182" t="str">
        <f>+Gastos!C104</f>
        <v xml:space="preserve">       Otros sectores</v>
      </c>
      <c r="C85" s="1163"/>
      <c r="D85" s="1163"/>
      <c r="E85" s="1163"/>
      <c r="F85" s="1163"/>
      <c r="G85" s="1163">
        <f t="shared" ref="G85:P85" si="100">+F85*1.04</f>
        <v>0</v>
      </c>
      <c r="H85" s="1163">
        <v>0</v>
      </c>
      <c r="I85" s="1163"/>
      <c r="J85" s="1163">
        <f t="shared" si="100"/>
        <v>0</v>
      </c>
      <c r="K85" s="1163">
        <f t="shared" si="100"/>
        <v>0</v>
      </c>
      <c r="L85" s="1163">
        <f t="shared" si="100"/>
        <v>0</v>
      </c>
      <c r="M85" s="1163">
        <f t="shared" si="100"/>
        <v>0</v>
      </c>
      <c r="N85" s="1163">
        <f t="shared" si="100"/>
        <v>0</v>
      </c>
      <c r="O85" s="1163">
        <f t="shared" si="100"/>
        <v>0</v>
      </c>
      <c r="P85" s="1163">
        <f t="shared" si="100"/>
        <v>0</v>
      </c>
      <c r="Q85" s="1163">
        <f t="shared" si="87"/>
        <v>0</v>
      </c>
      <c r="R85" s="1163">
        <f t="shared" si="87"/>
        <v>0</v>
      </c>
      <c r="S85" s="1163">
        <f t="shared" si="87"/>
        <v>0</v>
      </c>
      <c r="T85" s="1163">
        <f t="shared" si="87"/>
        <v>0</v>
      </c>
      <c r="U85" s="1163">
        <f t="shared" si="87"/>
        <v>0</v>
      </c>
      <c r="V85" s="1163">
        <f t="shared" si="88"/>
        <v>0</v>
      </c>
      <c r="W85" s="1163">
        <f t="shared" si="88"/>
        <v>0</v>
      </c>
    </row>
    <row r="86" spans="1:23" ht="22.5" hidden="1">
      <c r="A86" s="409" t="str">
        <f>+Gastos!A105</f>
        <v>65A</v>
      </c>
      <c r="B86" s="1180" t="str">
        <f>+Gastos!C105</f>
        <v xml:space="preserve">    Subsidios para el acceso de la población al servicio</v>
      </c>
      <c r="C86" s="1162">
        <f>SUM(C87:C92)</f>
        <v>0</v>
      </c>
      <c r="D86" s="1162">
        <f t="shared" ref="D86:P86" si="101">SUM(D87:D92)</f>
        <v>0</v>
      </c>
      <c r="E86" s="1162">
        <f t="shared" si="101"/>
        <v>0</v>
      </c>
      <c r="F86" s="1162">
        <f t="shared" si="101"/>
        <v>0</v>
      </c>
      <c r="G86" s="1162">
        <f t="shared" si="101"/>
        <v>0</v>
      </c>
      <c r="H86" s="1162">
        <v>0</v>
      </c>
      <c r="I86" s="1162">
        <f t="shared" si="101"/>
        <v>0</v>
      </c>
      <c r="J86" s="1162">
        <f t="shared" si="101"/>
        <v>0</v>
      </c>
      <c r="K86" s="1162">
        <f t="shared" si="101"/>
        <v>0</v>
      </c>
      <c r="L86" s="1162">
        <f t="shared" si="101"/>
        <v>0</v>
      </c>
      <c r="M86" s="1162">
        <f t="shared" si="101"/>
        <v>0</v>
      </c>
      <c r="N86" s="1162">
        <f t="shared" si="101"/>
        <v>0</v>
      </c>
      <c r="O86" s="1162">
        <f t="shared" si="101"/>
        <v>0</v>
      </c>
      <c r="P86" s="1162">
        <f t="shared" si="101"/>
        <v>0</v>
      </c>
      <c r="Q86" s="1162">
        <f t="shared" ref="Q86:V86" si="102">SUM(Q87:Q92)</f>
        <v>0</v>
      </c>
      <c r="R86" s="1162">
        <f t="shared" si="102"/>
        <v>0</v>
      </c>
      <c r="S86" s="1162">
        <f t="shared" si="102"/>
        <v>0</v>
      </c>
      <c r="T86" s="1162">
        <f t="shared" si="102"/>
        <v>0</v>
      </c>
      <c r="U86" s="1162">
        <f t="shared" si="102"/>
        <v>0</v>
      </c>
      <c r="V86" s="1162">
        <f t="shared" si="102"/>
        <v>0</v>
      </c>
      <c r="W86" s="1162">
        <f>SUM(W87:W92)</f>
        <v>0</v>
      </c>
    </row>
    <row r="87" spans="1:23" hidden="1">
      <c r="A87" s="400" t="str">
        <f>+Gastos!A106</f>
        <v>2250212</v>
      </c>
      <c r="B87" s="1182" t="str">
        <f>+Gastos!C106</f>
        <v xml:space="preserve">       Agua Potable y Saneamiento Básico</v>
      </c>
      <c r="C87" s="1163"/>
      <c r="D87" s="1163"/>
      <c r="E87" s="1163"/>
      <c r="F87" s="1163"/>
      <c r="G87" s="1163">
        <f t="shared" ref="G87:P87" si="103">+F87*1.04</f>
        <v>0</v>
      </c>
      <c r="H87" s="1163">
        <v>0</v>
      </c>
      <c r="I87" s="1163">
        <f t="shared" si="103"/>
        <v>0</v>
      </c>
      <c r="J87" s="1163">
        <f t="shared" si="103"/>
        <v>0</v>
      </c>
      <c r="K87" s="1163">
        <f t="shared" si="103"/>
        <v>0</v>
      </c>
      <c r="L87" s="1163">
        <f t="shared" si="103"/>
        <v>0</v>
      </c>
      <c r="M87" s="1163">
        <f t="shared" si="103"/>
        <v>0</v>
      </c>
      <c r="N87" s="1163">
        <f t="shared" si="103"/>
        <v>0</v>
      </c>
      <c r="O87" s="1163">
        <f t="shared" si="103"/>
        <v>0</v>
      </c>
      <c r="P87" s="1163">
        <f t="shared" si="103"/>
        <v>0</v>
      </c>
      <c r="Q87" s="1163">
        <f t="shared" ref="Q87:U92" si="104">+P87*1.04</f>
        <v>0</v>
      </c>
      <c r="R87" s="1163">
        <f t="shared" si="104"/>
        <v>0</v>
      </c>
      <c r="S87" s="1163">
        <f t="shared" si="104"/>
        <v>0</v>
      </c>
      <c r="T87" s="1163">
        <f t="shared" si="104"/>
        <v>0</v>
      </c>
      <c r="U87" s="1163">
        <f t="shared" si="104"/>
        <v>0</v>
      </c>
      <c r="V87" s="1163">
        <f t="shared" ref="V87:W92" si="105">+U87*1.04</f>
        <v>0</v>
      </c>
      <c r="W87" s="1163">
        <f t="shared" si="105"/>
        <v>0</v>
      </c>
    </row>
    <row r="88" spans="1:23" hidden="1">
      <c r="A88" s="397" t="str">
        <f>+Gastos!A107</f>
        <v>66A</v>
      </c>
      <c r="B88" s="1182" t="str">
        <f>+Gastos!C107</f>
        <v xml:space="preserve">       Vivienda</v>
      </c>
      <c r="C88" s="1163"/>
      <c r="D88" s="1163"/>
      <c r="E88" s="1163"/>
      <c r="F88" s="1163"/>
      <c r="G88" s="1163">
        <v>0</v>
      </c>
      <c r="H88" s="1163">
        <v>0</v>
      </c>
      <c r="I88" s="1163">
        <f t="shared" ref="I88:P88" si="106">+H88*1.04</f>
        <v>0</v>
      </c>
      <c r="J88" s="1163">
        <f t="shared" si="106"/>
        <v>0</v>
      </c>
      <c r="K88" s="1163">
        <f t="shared" si="106"/>
        <v>0</v>
      </c>
      <c r="L88" s="1163">
        <f t="shared" si="106"/>
        <v>0</v>
      </c>
      <c r="M88" s="1163">
        <f t="shared" si="106"/>
        <v>0</v>
      </c>
      <c r="N88" s="1163">
        <f t="shared" si="106"/>
        <v>0</v>
      </c>
      <c r="O88" s="1163">
        <f t="shared" si="106"/>
        <v>0</v>
      </c>
      <c r="P88" s="1163">
        <f t="shared" si="106"/>
        <v>0</v>
      </c>
      <c r="Q88" s="1163">
        <f t="shared" si="104"/>
        <v>0</v>
      </c>
      <c r="R88" s="1163">
        <f t="shared" si="104"/>
        <v>0</v>
      </c>
      <c r="S88" s="1163">
        <f t="shared" si="104"/>
        <v>0</v>
      </c>
      <c r="T88" s="1163">
        <f t="shared" si="104"/>
        <v>0</v>
      </c>
      <c r="U88" s="1163">
        <f t="shared" si="104"/>
        <v>0</v>
      </c>
      <c r="V88" s="1163">
        <f t="shared" si="105"/>
        <v>0</v>
      </c>
      <c r="W88" s="1163">
        <f t="shared" si="105"/>
        <v>0</v>
      </c>
    </row>
    <row r="89" spans="1:23" hidden="1">
      <c r="A89" s="401" t="str">
        <f>+Gastos!A108</f>
        <v>2251012</v>
      </c>
      <c r="B89" s="1182" t="str">
        <f>+Gastos!C108</f>
        <v xml:space="preserve">       Educación</v>
      </c>
      <c r="C89" s="1163"/>
      <c r="D89" s="1163"/>
      <c r="E89" s="1163"/>
      <c r="F89" s="1163"/>
      <c r="G89" s="1163">
        <v>0</v>
      </c>
      <c r="H89" s="1163">
        <v>0</v>
      </c>
      <c r="I89" s="1163">
        <f t="shared" ref="I89:P89" si="107">+H89*1.04</f>
        <v>0</v>
      </c>
      <c r="J89" s="1163">
        <f t="shared" si="107"/>
        <v>0</v>
      </c>
      <c r="K89" s="1163">
        <f t="shared" si="107"/>
        <v>0</v>
      </c>
      <c r="L89" s="1163">
        <f t="shared" si="107"/>
        <v>0</v>
      </c>
      <c r="M89" s="1163">
        <f t="shared" si="107"/>
        <v>0</v>
      </c>
      <c r="N89" s="1163">
        <f t="shared" si="107"/>
        <v>0</v>
      </c>
      <c r="O89" s="1163">
        <f t="shared" si="107"/>
        <v>0</v>
      </c>
      <c r="P89" s="1163">
        <f t="shared" si="107"/>
        <v>0</v>
      </c>
      <c r="Q89" s="1163">
        <f t="shared" si="104"/>
        <v>0</v>
      </c>
      <c r="R89" s="1163">
        <f t="shared" si="104"/>
        <v>0</v>
      </c>
      <c r="S89" s="1163">
        <f t="shared" si="104"/>
        <v>0</v>
      </c>
      <c r="T89" s="1163">
        <f t="shared" si="104"/>
        <v>0</v>
      </c>
      <c r="U89" s="1163">
        <f t="shared" si="104"/>
        <v>0</v>
      </c>
      <c r="V89" s="1163">
        <f t="shared" si="105"/>
        <v>0</v>
      </c>
      <c r="W89" s="1163">
        <f t="shared" si="105"/>
        <v>0</v>
      </c>
    </row>
    <row r="90" spans="1:23" hidden="1">
      <c r="A90" s="400" t="str">
        <f>+Gastos!A109</f>
        <v>2251612</v>
      </c>
      <c r="B90" s="1182" t="str">
        <f>+Gastos!C109</f>
        <v xml:space="preserve">       Salud</v>
      </c>
      <c r="C90" s="1163"/>
      <c r="D90" s="1163"/>
      <c r="E90" s="1163"/>
      <c r="F90" s="1163"/>
      <c r="G90" s="1163">
        <v>0</v>
      </c>
      <c r="H90" s="1163">
        <v>0</v>
      </c>
      <c r="I90" s="1163">
        <f t="shared" ref="I90:P90" si="108">+H90*1.04</f>
        <v>0</v>
      </c>
      <c r="J90" s="1163">
        <f t="shared" si="108"/>
        <v>0</v>
      </c>
      <c r="K90" s="1163">
        <f t="shared" si="108"/>
        <v>0</v>
      </c>
      <c r="L90" s="1163">
        <f t="shared" si="108"/>
        <v>0</v>
      </c>
      <c r="M90" s="1163">
        <f t="shared" si="108"/>
        <v>0</v>
      </c>
      <c r="N90" s="1163">
        <f t="shared" si="108"/>
        <v>0</v>
      </c>
      <c r="O90" s="1163">
        <f t="shared" si="108"/>
        <v>0</v>
      </c>
      <c r="P90" s="1163">
        <f t="shared" si="108"/>
        <v>0</v>
      </c>
      <c r="Q90" s="1163">
        <f t="shared" si="104"/>
        <v>0</v>
      </c>
      <c r="R90" s="1163">
        <f t="shared" si="104"/>
        <v>0</v>
      </c>
      <c r="S90" s="1163">
        <f t="shared" si="104"/>
        <v>0</v>
      </c>
      <c r="T90" s="1163">
        <f t="shared" si="104"/>
        <v>0</v>
      </c>
      <c r="U90" s="1163">
        <f t="shared" si="104"/>
        <v>0</v>
      </c>
      <c r="V90" s="1163">
        <f t="shared" si="105"/>
        <v>0</v>
      </c>
      <c r="W90" s="1163">
        <f t="shared" si="105"/>
        <v>0</v>
      </c>
    </row>
    <row r="91" spans="1:23" hidden="1">
      <c r="A91" s="409" t="str">
        <f>+Gastos!A110</f>
        <v>67A</v>
      </c>
      <c r="B91" s="1182" t="str">
        <f>+Gastos!C110</f>
        <v xml:space="preserve">        Sector Energético</v>
      </c>
      <c r="C91" s="1163"/>
      <c r="D91" s="1163"/>
      <c r="E91" s="1163"/>
      <c r="F91" s="1163"/>
      <c r="G91" s="1163">
        <f t="shared" ref="G91:P91" si="109">+F91*1.04</f>
        <v>0</v>
      </c>
      <c r="H91" s="1163">
        <v>0</v>
      </c>
      <c r="I91" s="1163">
        <f t="shared" si="109"/>
        <v>0</v>
      </c>
      <c r="J91" s="1163">
        <f t="shared" si="109"/>
        <v>0</v>
      </c>
      <c r="K91" s="1163">
        <f t="shared" si="109"/>
        <v>0</v>
      </c>
      <c r="L91" s="1163">
        <f t="shared" si="109"/>
        <v>0</v>
      </c>
      <c r="M91" s="1163">
        <f t="shared" si="109"/>
        <v>0</v>
      </c>
      <c r="N91" s="1163">
        <f t="shared" si="109"/>
        <v>0</v>
      </c>
      <c r="O91" s="1163">
        <f t="shared" si="109"/>
        <v>0</v>
      </c>
      <c r="P91" s="1163">
        <f t="shared" si="109"/>
        <v>0</v>
      </c>
      <c r="Q91" s="1163">
        <f t="shared" si="104"/>
        <v>0</v>
      </c>
      <c r="R91" s="1163">
        <f t="shared" si="104"/>
        <v>0</v>
      </c>
      <c r="S91" s="1163">
        <f t="shared" si="104"/>
        <v>0</v>
      </c>
      <c r="T91" s="1163">
        <f t="shared" si="104"/>
        <v>0</v>
      </c>
      <c r="U91" s="1163">
        <f t="shared" si="104"/>
        <v>0</v>
      </c>
      <c r="V91" s="1163">
        <f t="shared" si="105"/>
        <v>0</v>
      </c>
      <c r="W91" s="1163">
        <f t="shared" si="105"/>
        <v>0</v>
      </c>
    </row>
    <row r="92" spans="1:23" hidden="1">
      <c r="A92" s="400" t="str">
        <f>+Gastos!A111</f>
        <v>2252212</v>
      </c>
      <c r="B92" s="1182" t="str">
        <f>+Gastos!C111</f>
        <v xml:space="preserve">       Desarrollo Agropecuario y Minero</v>
      </c>
      <c r="C92" s="1163"/>
      <c r="D92" s="1163"/>
      <c r="E92" s="1163"/>
      <c r="F92" s="1163"/>
      <c r="G92" s="1163">
        <f t="shared" ref="G92:P92" si="110">+F92*1.04</f>
        <v>0</v>
      </c>
      <c r="H92" s="1163">
        <v>0</v>
      </c>
      <c r="I92" s="1163">
        <f t="shared" si="110"/>
        <v>0</v>
      </c>
      <c r="J92" s="1163">
        <f t="shared" si="110"/>
        <v>0</v>
      </c>
      <c r="K92" s="1163">
        <f t="shared" si="110"/>
        <v>0</v>
      </c>
      <c r="L92" s="1163">
        <f t="shared" si="110"/>
        <v>0</v>
      </c>
      <c r="M92" s="1163">
        <f t="shared" si="110"/>
        <v>0</v>
      </c>
      <c r="N92" s="1163">
        <f t="shared" si="110"/>
        <v>0</v>
      </c>
      <c r="O92" s="1163">
        <f t="shared" si="110"/>
        <v>0</v>
      </c>
      <c r="P92" s="1163">
        <f t="shared" si="110"/>
        <v>0</v>
      </c>
      <c r="Q92" s="1163">
        <f t="shared" si="104"/>
        <v>0</v>
      </c>
      <c r="R92" s="1163">
        <f t="shared" si="104"/>
        <v>0</v>
      </c>
      <c r="S92" s="1163">
        <f t="shared" si="104"/>
        <v>0</v>
      </c>
      <c r="T92" s="1163">
        <f t="shared" si="104"/>
        <v>0</v>
      </c>
      <c r="U92" s="1163">
        <f t="shared" si="104"/>
        <v>0</v>
      </c>
      <c r="V92" s="1163">
        <f t="shared" si="105"/>
        <v>0</v>
      </c>
      <c r="W92" s="1163">
        <f t="shared" si="105"/>
        <v>0</v>
      </c>
    </row>
    <row r="93" spans="1:23" ht="48" customHeight="1">
      <c r="A93" s="409" t="str">
        <f>+Gastos!A112</f>
        <v>68A</v>
      </c>
      <c r="B93" s="1180" t="str">
        <f>+Gastos!C112</f>
        <v xml:space="preserve">    Formación Bruta de capital  y otros (construcción, reparación, mantenimiento, asistencia técnica, preinversión, etc)</v>
      </c>
      <c r="C93" s="1162">
        <f>SUM(C94:C107)</f>
        <v>0</v>
      </c>
      <c r="D93" s="1162">
        <f t="shared" ref="D93:P93" si="111">SUM(D94:D107)</f>
        <v>0</v>
      </c>
      <c r="E93" s="1162">
        <f t="shared" si="111"/>
        <v>0</v>
      </c>
      <c r="F93" s="1162">
        <f>SUM(F94:F107)</f>
        <v>1531333</v>
      </c>
      <c r="G93" s="1162">
        <f t="shared" si="111"/>
        <v>1571443.6400000001</v>
      </c>
      <c r="H93" s="1162">
        <v>1067763</v>
      </c>
      <c r="I93" s="1162">
        <f t="shared" si="111"/>
        <v>1232498</v>
      </c>
      <c r="J93" s="1162">
        <f t="shared" si="111"/>
        <v>1020764</v>
      </c>
      <c r="K93" s="1162">
        <f t="shared" si="111"/>
        <v>1245914.56</v>
      </c>
      <c r="L93" s="1162">
        <f t="shared" si="111"/>
        <v>1069110.8544000001</v>
      </c>
      <c r="M93" s="1162">
        <f>SUM(M94:M107)</f>
        <v>1363435.5880960003</v>
      </c>
      <c r="N93" s="1162">
        <f>SUM(N94:N107)</f>
        <v>1391973.0116198403</v>
      </c>
      <c r="O93" s="1162">
        <f t="shared" si="111"/>
        <v>1502811.932084634</v>
      </c>
      <c r="P93" s="1162">
        <f t="shared" si="111"/>
        <v>1618044.4093680193</v>
      </c>
      <c r="Q93" s="1162">
        <f t="shared" ref="Q93:V93" si="112">SUM(Q94:Q107)</f>
        <v>1682766.1857427401</v>
      </c>
      <c r="R93" s="1162">
        <f t="shared" si="112"/>
        <v>1750076.8331724496</v>
      </c>
      <c r="S93" s="1162">
        <f t="shared" si="112"/>
        <v>1820079.9064993476</v>
      </c>
      <c r="T93" s="1162">
        <f t="shared" si="112"/>
        <v>1892883.1027593217</v>
      </c>
      <c r="U93" s="1162">
        <f t="shared" si="112"/>
        <v>1968598.4268696946</v>
      </c>
      <c r="V93" s="1162">
        <f t="shared" si="112"/>
        <v>2047342.3639444823</v>
      </c>
      <c r="W93" s="1162">
        <f>SUM(W94:W107)</f>
        <v>2129236.0585022615</v>
      </c>
    </row>
    <row r="94" spans="1:23">
      <c r="A94" s="409" t="str">
        <f>+Gastos!A113</f>
        <v>69A</v>
      </c>
      <c r="B94" s="1182" t="s">
        <v>1214</v>
      </c>
      <c r="C94" s="1163"/>
      <c r="D94" s="1163"/>
      <c r="E94" s="1163"/>
      <c r="F94" s="1163">
        <v>762485</v>
      </c>
      <c r="G94" s="1163">
        <f>792984-11000</f>
        <v>781984</v>
      </c>
      <c r="H94" s="1163">
        <v>565548</v>
      </c>
      <c r="I94" s="1163">
        <f>+'Ingresos Proyecciones'!I60-21000</f>
        <v>632048</v>
      </c>
      <c r="J94" s="1163">
        <f>+'Ingresos Proyecciones'!J60-21000</f>
        <v>561548</v>
      </c>
      <c r="K94" s="1163">
        <f>+'Ingresos Proyecciones'!K60-21000</f>
        <v>584849.92000000004</v>
      </c>
      <c r="L94" s="1163">
        <v>614084</v>
      </c>
      <c r="M94" s="1313">
        <f>+'Ingresos Proyecciones'!M60-2500</f>
        <v>652787.27347200015</v>
      </c>
      <c r="N94" s="1163">
        <f>+'Ingresos Proyecciones'!N60</f>
        <v>681498.76441088016</v>
      </c>
      <c r="O94" s="1163">
        <f>+'Ingresos Proyecciones'!O60</f>
        <v>708758.71498731535</v>
      </c>
      <c r="P94" s="1163">
        <f>+'Ingresos Proyecciones'!P60</f>
        <v>737109.06358680804</v>
      </c>
      <c r="Q94" s="1163">
        <f>+'Ingresos Proyecciones'!Q60</f>
        <v>766593.42613028036</v>
      </c>
      <c r="R94" s="1163">
        <f>+'Ingresos Proyecciones'!R60</f>
        <v>797257.16317549162</v>
      </c>
      <c r="S94" s="1163">
        <f>+'Ingresos Proyecciones'!S60</f>
        <v>829147.44970251131</v>
      </c>
      <c r="T94" s="1163">
        <f>+'Ingresos Proyecciones'!T60</f>
        <v>862313.34769061184</v>
      </c>
      <c r="U94" s="1163">
        <f>+'Ingresos Proyecciones'!U60</f>
        <v>896805.88159823639</v>
      </c>
      <c r="V94" s="1163">
        <f>+'Ingresos Proyecciones'!V60</f>
        <v>932678.11686216586</v>
      </c>
      <c r="W94" s="1163">
        <f>+'Ingresos Proyecciones'!W60</f>
        <v>969985.24153665255</v>
      </c>
    </row>
    <row r="95" spans="1:23">
      <c r="A95" s="409" t="str">
        <f>+Gastos!A114</f>
        <v>70A</v>
      </c>
      <c r="B95" s="1182" t="s">
        <v>1232</v>
      </c>
      <c r="C95" s="1163"/>
      <c r="D95" s="1163"/>
      <c r="E95" s="1163"/>
      <c r="F95" s="1163">
        <v>33069</v>
      </c>
      <c r="G95" s="1163">
        <v>61000</v>
      </c>
      <c r="H95" s="1163">
        <v>42625</v>
      </c>
      <c r="I95" s="1163">
        <f>+'Ingresos Proyecciones'!I62</f>
        <v>47784</v>
      </c>
      <c r="J95" s="1163">
        <f>+'Ingresos Proyecciones'!J62</f>
        <v>42625</v>
      </c>
      <c r="K95" s="1163">
        <f>+'Ingresos Proyecciones'!K62</f>
        <v>44330</v>
      </c>
      <c r="L95" s="1163">
        <f>+'Ingresos Proyecciones'!L62</f>
        <v>46103.200000000004</v>
      </c>
      <c r="M95" s="1313">
        <f>+'Ingresos Proyecciones'!M62</f>
        <v>47947.328000000009</v>
      </c>
      <c r="N95" s="1163">
        <f>+'Ingresos Proyecciones'!N62</f>
        <v>49865.221120000009</v>
      </c>
      <c r="O95" s="1163">
        <f>+'Ingresos Proyecciones'!O62</f>
        <v>51859.82996480001</v>
      </c>
      <c r="P95" s="1163">
        <f>+'Ingresos Proyecciones'!P62</f>
        <v>53934.223163392009</v>
      </c>
      <c r="Q95" s="1163">
        <f>+'Ingresos Proyecciones'!Q62</f>
        <v>56091.59208992769</v>
      </c>
      <c r="R95" s="1163">
        <f>+'Ingresos Proyecciones'!R62</f>
        <v>58335.255773524797</v>
      </c>
      <c r="S95" s="1163">
        <f>+'Ingresos Proyecciones'!S62</f>
        <v>60668.666004465791</v>
      </c>
      <c r="T95" s="1163">
        <f>+'Ingresos Proyecciones'!T62</f>
        <v>63095.412644644428</v>
      </c>
      <c r="U95" s="1163">
        <f>+'Ingresos Proyecciones'!U62</f>
        <v>65619.229150430212</v>
      </c>
      <c r="V95" s="1163">
        <f>+'Ingresos Proyecciones'!V62</f>
        <v>68243.998316447425</v>
      </c>
      <c r="W95" s="1163">
        <f>+'Ingresos Proyecciones'!W62</f>
        <v>70973.758249105318</v>
      </c>
    </row>
    <row r="96" spans="1:23">
      <c r="A96" s="409" t="str">
        <f>+Gastos!A115</f>
        <v>71A</v>
      </c>
      <c r="B96" s="1182" t="s">
        <v>1226</v>
      </c>
      <c r="C96" s="1163"/>
      <c r="D96" s="1163"/>
      <c r="E96" s="1163"/>
      <c r="F96" s="1163">
        <v>6400</v>
      </c>
      <c r="G96" s="1163">
        <v>20000</v>
      </c>
      <c r="H96" s="1163">
        <v>56834</v>
      </c>
      <c r="I96" s="1163">
        <f>+'Ingresos Proyecciones'!I61</f>
        <v>63701</v>
      </c>
      <c r="J96" s="1163">
        <f>+'Ingresos Proyecciones'!J61</f>
        <v>56834</v>
      </c>
      <c r="K96" s="1163">
        <f>+'Ingresos Proyecciones'!K61</f>
        <v>59107.360000000001</v>
      </c>
      <c r="L96" s="1163">
        <f>+'Ingresos Proyecciones'!L61</f>
        <v>61471.654399999999</v>
      </c>
      <c r="M96" s="1313">
        <f>+'Ingresos Proyecciones'!M61</f>
        <v>63930.520576000003</v>
      </c>
      <c r="N96" s="1163">
        <f>+'Ingresos Proyecciones'!N61</f>
        <v>66487.741399040009</v>
      </c>
      <c r="O96" s="1163">
        <f>+'Ingresos Proyecciones'!O61</f>
        <v>69147.251055001616</v>
      </c>
      <c r="P96" s="1163">
        <f>+'Ingresos Proyecciones'!P61</f>
        <v>71913.141097201689</v>
      </c>
      <c r="Q96" s="1163">
        <f>+'Ingresos Proyecciones'!Q61</f>
        <v>74789.666741089764</v>
      </c>
      <c r="R96" s="1163">
        <f>+'Ingresos Proyecciones'!R61</f>
        <v>77781.253410733363</v>
      </c>
      <c r="S96" s="1163">
        <f>+'Ingresos Proyecciones'!S61</f>
        <v>80892.503547162705</v>
      </c>
      <c r="T96" s="1163">
        <f>+'Ingresos Proyecciones'!T61</f>
        <v>84128.203689049216</v>
      </c>
      <c r="U96" s="1163">
        <f>+'Ingresos Proyecciones'!U61</f>
        <v>87493.331836611193</v>
      </c>
      <c r="V96" s="1163">
        <f>+'Ingresos Proyecciones'!V61</f>
        <v>90993.065110075637</v>
      </c>
      <c r="W96" s="1163">
        <f>+'Ingresos Proyecciones'!W61</f>
        <v>94632.787714478662</v>
      </c>
    </row>
    <row r="97" spans="1:23">
      <c r="A97" s="409" t="str">
        <f>+Gastos!A116</f>
        <v>72A</v>
      </c>
      <c r="B97" s="1182" t="s">
        <v>486</v>
      </c>
      <c r="C97" s="1163"/>
      <c r="D97" s="1163"/>
      <c r="E97" s="1163"/>
      <c r="F97" s="1163">
        <v>5000</v>
      </c>
      <c r="G97" s="1163">
        <f>+F97*1.04</f>
        <v>5200</v>
      </c>
      <c r="H97" s="1163">
        <v>402756</v>
      </c>
      <c r="I97" s="1163">
        <f>+'Ingresos Proyecciones'!I63-180000</f>
        <v>488965</v>
      </c>
      <c r="J97" s="1163">
        <f>+'Ingresos Proyecciones'!J63-271000+24000+10000</f>
        <v>359757</v>
      </c>
      <c r="K97" s="1163">
        <f>+'Ingresos Proyecciones'!K63-109000+24000+10000+12000</f>
        <v>557627.28</v>
      </c>
      <c r="L97" s="1163">
        <v>347452</v>
      </c>
      <c r="M97" s="1313">
        <f>+'Ingresos Proyecciones'!M63-19500-50000-3000</f>
        <v>598770.46604800003</v>
      </c>
      <c r="N97" s="1163">
        <f>+'Ingresos Proyecciones'!N63-104000</f>
        <v>594121.28468992002</v>
      </c>
      <c r="O97" s="1163">
        <f>+'Ingresos Proyecciones'!O63-53000</f>
        <v>673046.13607751683</v>
      </c>
      <c r="P97" s="1163">
        <f>+'Ingresos Proyecciones'!P63</f>
        <v>755087.9815206175</v>
      </c>
      <c r="Q97" s="1163">
        <f>+'Ingresos Proyecciones'!Q63</f>
        <v>785291.50078144227</v>
      </c>
      <c r="R97" s="1163">
        <f>+'Ingresos Proyecciones'!R63</f>
        <v>816703.16081269993</v>
      </c>
      <c r="S97" s="1163">
        <f>+'Ingresos Proyecciones'!S63</f>
        <v>849371.28724520793</v>
      </c>
      <c r="T97" s="1163">
        <f>+'Ingresos Proyecciones'!T63</f>
        <v>883346.13873501623</v>
      </c>
      <c r="U97" s="1163">
        <f>+'Ingresos Proyecciones'!U63</f>
        <v>918679.98428441689</v>
      </c>
      <c r="V97" s="1163">
        <f>+'Ingresos Proyecciones'!V63</f>
        <v>955427.18365579355</v>
      </c>
      <c r="W97" s="1163">
        <f>+'Ingresos Proyecciones'!W63</f>
        <v>993644.27100202534</v>
      </c>
    </row>
    <row r="98" spans="1:23" hidden="1">
      <c r="A98" s="409" t="str">
        <f>+Gastos!A117</f>
        <v>73A</v>
      </c>
      <c r="B98" s="1182" t="str">
        <f>+Gastos!C117</f>
        <v xml:space="preserve">       Educación Física, Deporte y Recreación</v>
      </c>
      <c r="C98" s="1163"/>
      <c r="D98" s="1163"/>
      <c r="E98" s="1163"/>
      <c r="F98" s="1163">
        <v>73500</v>
      </c>
      <c r="G98" s="1163">
        <f t="shared" ref="G98:P98" si="113">+F98*1.04</f>
        <v>76440</v>
      </c>
      <c r="H98" s="1163">
        <v>0</v>
      </c>
      <c r="I98" s="1163">
        <f t="shared" si="113"/>
        <v>0</v>
      </c>
      <c r="J98" s="1163">
        <f t="shared" si="113"/>
        <v>0</v>
      </c>
      <c r="K98" s="1163">
        <f t="shared" si="113"/>
        <v>0</v>
      </c>
      <c r="L98" s="1163">
        <f t="shared" si="113"/>
        <v>0</v>
      </c>
      <c r="M98" s="1163">
        <f t="shared" si="113"/>
        <v>0</v>
      </c>
      <c r="N98" s="1163">
        <f t="shared" si="113"/>
        <v>0</v>
      </c>
      <c r="O98" s="1163">
        <f t="shared" si="113"/>
        <v>0</v>
      </c>
      <c r="P98" s="1163">
        <f t="shared" si="113"/>
        <v>0</v>
      </c>
      <c r="Q98" s="1163">
        <f t="shared" ref="Q98:U100" si="114">+P98*1.04</f>
        <v>0</v>
      </c>
      <c r="R98" s="1163">
        <f t="shared" si="114"/>
        <v>0</v>
      </c>
      <c r="S98" s="1163">
        <f t="shared" si="114"/>
        <v>0</v>
      </c>
      <c r="T98" s="1163">
        <f t="shared" si="114"/>
        <v>0</v>
      </c>
      <c r="U98" s="1163">
        <f t="shared" si="114"/>
        <v>0</v>
      </c>
      <c r="V98" s="1163">
        <f t="shared" ref="V98:W100" si="115">+U98*1.04</f>
        <v>0</v>
      </c>
      <c r="W98" s="1163">
        <f t="shared" si="115"/>
        <v>0</v>
      </c>
    </row>
    <row r="99" spans="1:23" hidden="1">
      <c r="A99" s="409" t="str">
        <f>+Gastos!A118</f>
        <v>74A</v>
      </c>
      <c r="B99" s="1182" t="str">
        <f>+Gastos!C118</f>
        <v xml:space="preserve">      Atencion a grupos vulnerables</v>
      </c>
      <c r="C99" s="1163"/>
      <c r="D99" s="1163"/>
      <c r="E99" s="1163"/>
      <c r="F99" s="1163">
        <v>15000</v>
      </c>
      <c r="G99" s="1163">
        <v>28000</v>
      </c>
      <c r="H99" s="1163">
        <v>0</v>
      </c>
      <c r="I99" s="1163">
        <f t="shared" ref="I99:P99" si="116">+H99*1.04</f>
        <v>0</v>
      </c>
      <c r="J99" s="1163">
        <f t="shared" si="116"/>
        <v>0</v>
      </c>
      <c r="K99" s="1163">
        <f t="shared" si="116"/>
        <v>0</v>
      </c>
      <c r="L99" s="1163">
        <f t="shared" si="116"/>
        <v>0</v>
      </c>
      <c r="M99" s="1163">
        <f t="shared" si="116"/>
        <v>0</v>
      </c>
      <c r="N99" s="1163">
        <f t="shared" si="116"/>
        <v>0</v>
      </c>
      <c r="O99" s="1163">
        <f t="shared" si="116"/>
        <v>0</v>
      </c>
      <c r="P99" s="1163">
        <f t="shared" si="116"/>
        <v>0</v>
      </c>
      <c r="Q99" s="1163">
        <f t="shared" si="114"/>
        <v>0</v>
      </c>
      <c r="R99" s="1163">
        <f t="shared" si="114"/>
        <v>0</v>
      </c>
      <c r="S99" s="1163">
        <f t="shared" si="114"/>
        <v>0</v>
      </c>
      <c r="T99" s="1163">
        <f t="shared" si="114"/>
        <v>0</v>
      </c>
      <c r="U99" s="1163">
        <f t="shared" si="114"/>
        <v>0</v>
      </c>
      <c r="V99" s="1163">
        <f t="shared" si="115"/>
        <v>0</v>
      </c>
      <c r="W99" s="1163">
        <f t="shared" si="115"/>
        <v>0</v>
      </c>
    </row>
    <row r="100" spans="1:23" hidden="1">
      <c r="A100" s="409" t="str">
        <f>+Gastos!A119</f>
        <v>75A</v>
      </c>
      <c r="B100" s="1182" t="str">
        <f>+Gastos!C119</f>
        <v xml:space="preserve">       Cultura</v>
      </c>
      <c r="C100" s="1163"/>
      <c r="D100" s="1163"/>
      <c r="E100" s="1163"/>
      <c r="F100" s="1163">
        <v>57966</v>
      </c>
      <c r="G100" s="1163">
        <f t="shared" ref="G100:P100" si="117">+F100*1.04</f>
        <v>60284.639999999999</v>
      </c>
      <c r="H100" s="1163">
        <v>0</v>
      </c>
      <c r="I100" s="1163">
        <f t="shared" si="117"/>
        <v>0</v>
      </c>
      <c r="J100" s="1163">
        <f t="shared" si="117"/>
        <v>0</v>
      </c>
      <c r="K100" s="1163">
        <f t="shared" si="117"/>
        <v>0</v>
      </c>
      <c r="L100" s="1163">
        <f t="shared" si="117"/>
        <v>0</v>
      </c>
      <c r="M100" s="1163">
        <f t="shared" si="117"/>
        <v>0</v>
      </c>
      <c r="N100" s="1163">
        <f t="shared" si="117"/>
        <v>0</v>
      </c>
      <c r="O100" s="1163">
        <f t="shared" si="117"/>
        <v>0</v>
      </c>
      <c r="P100" s="1163">
        <f t="shared" si="117"/>
        <v>0</v>
      </c>
      <c r="Q100" s="1163">
        <f t="shared" si="114"/>
        <v>0</v>
      </c>
      <c r="R100" s="1163">
        <f t="shared" si="114"/>
        <v>0</v>
      </c>
      <c r="S100" s="1163">
        <f t="shared" si="114"/>
        <v>0</v>
      </c>
      <c r="T100" s="1163">
        <f t="shared" si="114"/>
        <v>0</v>
      </c>
      <c r="U100" s="1163">
        <f t="shared" si="114"/>
        <v>0</v>
      </c>
      <c r="V100" s="1163">
        <f t="shared" si="115"/>
        <v>0</v>
      </c>
      <c r="W100" s="1163">
        <f t="shared" si="115"/>
        <v>0</v>
      </c>
    </row>
    <row r="101" spans="1:23" hidden="1">
      <c r="A101" s="409" t="str">
        <f>+Gastos!A120</f>
        <v>76A</v>
      </c>
      <c r="B101" s="1182" t="str">
        <f>+Gastos!C120</f>
        <v xml:space="preserve">       Sector Energético</v>
      </c>
      <c r="C101" s="1163"/>
      <c r="D101" s="1163"/>
      <c r="E101" s="1163"/>
      <c r="F101" s="1163">
        <v>314335</v>
      </c>
      <c r="G101" s="1163">
        <v>234935</v>
      </c>
      <c r="H101" s="1163">
        <v>0</v>
      </c>
      <c r="I101" s="1163"/>
      <c r="J101" s="1163"/>
      <c r="K101" s="1163"/>
      <c r="L101" s="1163"/>
      <c r="M101" s="1163"/>
      <c r="N101" s="1163"/>
      <c r="O101" s="1163"/>
      <c r="P101" s="1163"/>
      <c r="Q101" s="1163"/>
      <c r="R101" s="1163"/>
      <c r="S101" s="1163"/>
      <c r="T101" s="1163"/>
      <c r="U101" s="1163"/>
      <c r="V101" s="1163"/>
      <c r="W101" s="1163"/>
    </row>
    <row r="102" spans="1:23" hidden="1">
      <c r="A102" s="409" t="str">
        <f>+Gastos!A121</f>
        <v>77A</v>
      </c>
      <c r="B102" s="1182" t="str">
        <f>+Gastos!C121</f>
        <v xml:space="preserve">       Desarrollo Agropecuario y Minero</v>
      </c>
      <c r="C102" s="1163"/>
      <c r="D102" s="1163"/>
      <c r="E102" s="1163"/>
      <c r="F102" s="1163">
        <f>41692+95000</f>
        <v>136692</v>
      </c>
      <c r="G102" s="1163">
        <v>159600</v>
      </c>
      <c r="H102" s="1163">
        <v>0</v>
      </c>
      <c r="I102" s="1163"/>
      <c r="J102" s="1163"/>
      <c r="K102" s="1163"/>
      <c r="L102" s="1163"/>
      <c r="M102" s="1163"/>
      <c r="N102" s="1163"/>
      <c r="O102" s="1163"/>
      <c r="P102" s="1163"/>
      <c r="Q102" s="1163"/>
      <c r="R102" s="1163"/>
      <c r="S102" s="1163"/>
      <c r="T102" s="1163"/>
      <c r="U102" s="1163"/>
      <c r="V102" s="1163"/>
      <c r="W102" s="1163"/>
    </row>
    <row r="103" spans="1:23" hidden="1">
      <c r="A103" s="409" t="str">
        <f>+Gastos!A122</f>
        <v>78A</v>
      </c>
      <c r="B103" s="1182" t="str">
        <f>+Gastos!C122</f>
        <v xml:space="preserve">      Equipamento Municipal</v>
      </c>
      <c r="C103" s="1163"/>
      <c r="D103" s="1163"/>
      <c r="E103" s="1163"/>
      <c r="F103" s="1163">
        <v>35000</v>
      </c>
      <c r="G103" s="1163">
        <v>20000</v>
      </c>
      <c r="H103" s="1163">
        <v>0</v>
      </c>
      <c r="I103" s="1163">
        <f t="shared" ref="I103:P103" si="118">+H103*1.04</f>
        <v>0</v>
      </c>
      <c r="J103" s="1163">
        <f t="shared" si="118"/>
        <v>0</v>
      </c>
      <c r="K103" s="1163">
        <f t="shared" si="118"/>
        <v>0</v>
      </c>
      <c r="L103" s="1163">
        <f t="shared" si="118"/>
        <v>0</v>
      </c>
      <c r="M103" s="1163">
        <f t="shared" si="118"/>
        <v>0</v>
      </c>
      <c r="N103" s="1163">
        <f t="shared" si="118"/>
        <v>0</v>
      </c>
      <c r="O103" s="1163">
        <f t="shared" si="118"/>
        <v>0</v>
      </c>
      <c r="P103" s="1163">
        <f t="shared" si="118"/>
        <v>0</v>
      </c>
      <c r="Q103" s="1163">
        <f t="shared" ref="Q103:U107" si="119">+P103*1.04</f>
        <v>0</v>
      </c>
      <c r="R103" s="1163">
        <f t="shared" si="119"/>
        <v>0</v>
      </c>
      <c r="S103" s="1163">
        <f t="shared" si="119"/>
        <v>0</v>
      </c>
      <c r="T103" s="1163">
        <f t="shared" si="119"/>
        <v>0</v>
      </c>
      <c r="U103" s="1163">
        <f t="shared" si="119"/>
        <v>0</v>
      </c>
      <c r="V103" s="1163">
        <f t="shared" ref="V103:W107" si="120">+U103*1.04</f>
        <v>0</v>
      </c>
      <c r="W103" s="1163">
        <f t="shared" si="120"/>
        <v>0</v>
      </c>
    </row>
    <row r="104" spans="1:23" hidden="1">
      <c r="A104" s="409" t="str">
        <f>+Gastos!A123</f>
        <v>79A</v>
      </c>
      <c r="B104" s="1182" t="str">
        <f>+Gastos!C123</f>
        <v xml:space="preserve">       Desarrollo de la comunidad</v>
      </c>
      <c r="C104" s="1163"/>
      <c r="D104" s="1163"/>
      <c r="E104" s="1163"/>
      <c r="F104" s="1163">
        <v>46886</v>
      </c>
      <c r="G104" s="1163">
        <v>49000</v>
      </c>
      <c r="H104" s="1163">
        <v>0</v>
      </c>
      <c r="I104" s="1163">
        <f t="shared" ref="I104:P104" si="121">+H104*1.04</f>
        <v>0</v>
      </c>
      <c r="J104" s="1163">
        <f t="shared" si="121"/>
        <v>0</v>
      </c>
      <c r="K104" s="1163">
        <f t="shared" si="121"/>
        <v>0</v>
      </c>
      <c r="L104" s="1163">
        <f t="shared" si="121"/>
        <v>0</v>
      </c>
      <c r="M104" s="1163">
        <f t="shared" si="121"/>
        <v>0</v>
      </c>
      <c r="N104" s="1163">
        <f t="shared" si="121"/>
        <v>0</v>
      </c>
      <c r="O104" s="1163">
        <f t="shared" si="121"/>
        <v>0</v>
      </c>
      <c r="P104" s="1163">
        <f t="shared" si="121"/>
        <v>0</v>
      </c>
      <c r="Q104" s="1163">
        <f t="shared" si="119"/>
        <v>0</v>
      </c>
      <c r="R104" s="1163">
        <f t="shared" si="119"/>
        <v>0</v>
      </c>
      <c r="S104" s="1163">
        <f t="shared" si="119"/>
        <v>0</v>
      </c>
      <c r="T104" s="1163">
        <f t="shared" si="119"/>
        <v>0</v>
      </c>
      <c r="U104" s="1163">
        <f t="shared" si="119"/>
        <v>0</v>
      </c>
      <c r="V104" s="1163">
        <f t="shared" si="120"/>
        <v>0</v>
      </c>
      <c r="W104" s="1163">
        <f t="shared" si="120"/>
        <v>0</v>
      </c>
    </row>
    <row r="105" spans="1:23" hidden="1">
      <c r="A105" s="409" t="str">
        <f>+Gastos!A124</f>
        <v>80A</v>
      </c>
      <c r="B105" s="1182" t="str">
        <f>+Gastos!C124</f>
        <v xml:space="preserve">       Justicia, defensa y seguridad</v>
      </c>
      <c r="C105" s="1163"/>
      <c r="D105" s="1163"/>
      <c r="E105" s="1163"/>
      <c r="F105" s="1163">
        <v>5000</v>
      </c>
      <c r="G105" s="1163">
        <v>5000</v>
      </c>
      <c r="H105" s="1163">
        <v>0</v>
      </c>
      <c r="I105" s="1163">
        <f t="shared" ref="I105:P105" si="122">+H105*1.04</f>
        <v>0</v>
      </c>
      <c r="J105" s="1163">
        <f t="shared" si="122"/>
        <v>0</v>
      </c>
      <c r="K105" s="1163">
        <f t="shared" si="122"/>
        <v>0</v>
      </c>
      <c r="L105" s="1163">
        <f t="shared" si="122"/>
        <v>0</v>
      </c>
      <c r="M105" s="1163">
        <f t="shared" si="122"/>
        <v>0</v>
      </c>
      <c r="N105" s="1163">
        <f t="shared" si="122"/>
        <v>0</v>
      </c>
      <c r="O105" s="1163">
        <f t="shared" si="122"/>
        <v>0</v>
      </c>
      <c r="P105" s="1163">
        <f t="shared" si="122"/>
        <v>0</v>
      </c>
      <c r="Q105" s="1163">
        <f t="shared" si="119"/>
        <v>0</v>
      </c>
      <c r="R105" s="1163">
        <f t="shared" si="119"/>
        <v>0</v>
      </c>
      <c r="S105" s="1163">
        <f t="shared" si="119"/>
        <v>0</v>
      </c>
      <c r="T105" s="1163">
        <f t="shared" si="119"/>
        <v>0</v>
      </c>
      <c r="U105" s="1163">
        <f t="shared" si="119"/>
        <v>0</v>
      </c>
      <c r="V105" s="1163">
        <f t="shared" si="120"/>
        <v>0</v>
      </c>
      <c r="W105" s="1163">
        <f t="shared" si="120"/>
        <v>0</v>
      </c>
    </row>
    <row r="106" spans="1:23" hidden="1">
      <c r="A106" s="397" t="str">
        <f>+Gastos!A125</f>
        <v>81A</v>
      </c>
      <c r="B106" s="1182" t="str">
        <f>+Gastos!C125</f>
        <v xml:space="preserve">      Prevencion y atencion de desastres</v>
      </c>
      <c r="C106" s="1163"/>
      <c r="D106" s="1163"/>
      <c r="E106" s="1163"/>
      <c r="F106" s="1163">
        <v>10000</v>
      </c>
      <c r="G106" s="1163">
        <v>30000</v>
      </c>
      <c r="H106" s="1163">
        <v>0</v>
      </c>
      <c r="I106" s="1163">
        <f t="shared" ref="I106:P106" si="123">+H106*1.04</f>
        <v>0</v>
      </c>
      <c r="J106" s="1163">
        <f t="shared" si="123"/>
        <v>0</v>
      </c>
      <c r="K106" s="1163">
        <f t="shared" si="123"/>
        <v>0</v>
      </c>
      <c r="L106" s="1163">
        <f t="shared" si="123"/>
        <v>0</v>
      </c>
      <c r="M106" s="1163">
        <f t="shared" si="123"/>
        <v>0</v>
      </c>
      <c r="N106" s="1163">
        <f t="shared" si="123"/>
        <v>0</v>
      </c>
      <c r="O106" s="1163">
        <f t="shared" si="123"/>
        <v>0</v>
      </c>
      <c r="P106" s="1163">
        <f t="shared" si="123"/>
        <v>0</v>
      </c>
      <c r="Q106" s="1163">
        <f t="shared" si="119"/>
        <v>0</v>
      </c>
      <c r="R106" s="1163">
        <f t="shared" si="119"/>
        <v>0</v>
      </c>
      <c r="S106" s="1163">
        <f t="shared" si="119"/>
        <v>0</v>
      </c>
      <c r="T106" s="1163">
        <f t="shared" si="119"/>
        <v>0</v>
      </c>
      <c r="U106" s="1163">
        <f t="shared" si="119"/>
        <v>0</v>
      </c>
      <c r="V106" s="1163">
        <f t="shared" si="120"/>
        <v>0</v>
      </c>
      <c r="W106" s="1163">
        <f t="shared" si="120"/>
        <v>0</v>
      </c>
    </row>
    <row r="107" spans="1:23" hidden="1">
      <c r="A107" s="409" t="str">
        <f>+Gastos!A126</f>
        <v>82A</v>
      </c>
      <c r="B107" s="1182" t="str">
        <f>+Gastos!C126</f>
        <v xml:space="preserve">      Medio Ambiente</v>
      </c>
      <c r="C107" s="1163"/>
      <c r="D107" s="1163"/>
      <c r="E107" s="1163"/>
      <c r="F107" s="1163">
        <v>30000</v>
      </c>
      <c r="G107" s="1163">
        <v>40000</v>
      </c>
      <c r="H107" s="1163">
        <v>0</v>
      </c>
      <c r="I107" s="1163">
        <f t="shared" ref="I107:P107" si="124">+H107*1.04</f>
        <v>0</v>
      </c>
      <c r="J107" s="1163">
        <f t="shared" si="124"/>
        <v>0</v>
      </c>
      <c r="K107" s="1163">
        <f t="shared" si="124"/>
        <v>0</v>
      </c>
      <c r="L107" s="1163">
        <f t="shared" si="124"/>
        <v>0</v>
      </c>
      <c r="M107" s="1163">
        <f t="shared" si="124"/>
        <v>0</v>
      </c>
      <c r="N107" s="1163">
        <f t="shared" si="124"/>
        <v>0</v>
      </c>
      <c r="O107" s="1163">
        <f t="shared" si="124"/>
        <v>0</v>
      </c>
      <c r="P107" s="1163">
        <f t="shared" si="124"/>
        <v>0</v>
      </c>
      <c r="Q107" s="1163">
        <f t="shared" si="119"/>
        <v>0</v>
      </c>
      <c r="R107" s="1163">
        <f t="shared" si="119"/>
        <v>0</v>
      </c>
      <c r="S107" s="1163">
        <f t="shared" si="119"/>
        <v>0</v>
      </c>
      <c r="T107" s="1163">
        <f t="shared" si="119"/>
        <v>0</v>
      </c>
      <c r="U107" s="1163">
        <f t="shared" si="119"/>
        <v>0</v>
      </c>
      <c r="V107" s="1163">
        <f t="shared" si="120"/>
        <v>0</v>
      </c>
      <c r="W107" s="1163">
        <f t="shared" si="120"/>
        <v>0</v>
      </c>
    </row>
    <row r="108" spans="1:23" ht="22.5" customHeight="1">
      <c r="A108" s="409" t="str">
        <f>+Gastos!A127</f>
        <v>224</v>
      </c>
      <c r="B108" s="1180" t="s">
        <v>1166</v>
      </c>
      <c r="C108" s="1162">
        <f>+C109+C123+C130</f>
        <v>0</v>
      </c>
      <c r="D108" s="1162">
        <f>+D109+D123+D130</f>
        <v>0</v>
      </c>
      <c r="E108" s="1162">
        <f>+E109+E123+E130</f>
        <v>0</v>
      </c>
      <c r="F108" s="1162">
        <f>+F109+F123+F130</f>
        <v>709643</v>
      </c>
      <c r="G108" s="1162">
        <f>+G109+G123+G130</f>
        <v>0</v>
      </c>
      <c r="H108" s="1162">
        <v>0</v>
      </c>
      <c r="I108" s="1162">
        <f>+I109+I123+I130</f>
        <v>32833</v>
      </c>
      <c r="J108" s="1162">
        <f t="shared" ref="J108:P108" si="125">+J109+J123+J130</f>
        <v>218561.84</v>
      </c>
      <c r="K108" s="1162">
        <f t="shared" si="125"/>
        <v>227304.31359999999</v>
      </c>
      <c r="L108" s="1162">
        <f t="shared" si="125"/>
        <v>236396.48614399999</v>
      </c>
      <c r="M108" s="1162">
        <f>+M109+M123+M130</f>
        <v>245852.50558976</v>
      </c>
      <c r="N108" s="1162">
        <f>+N109+N123+N130</f>
        <v>255686.60581335041</v>
      </c>
      <c r="O108" s="1162">
        <f t="shared" si="125"/>
        <v>265914.07004588447</v>
      </c>
      <c r="P108" s="1162">
        <f t="shared" si="125"/>
        <v>276550.63284771983</v>
      </c>
      <c r="Q108" s="1162">
        <f t="shared" ref="Q108:V108" si="126">+Q109+Q123+Q130</f>
        <v>287612.65816162858</v>
      </c>
      <c r="R108" s="1162">
        <f t="shared" si="126"/>
        <v>299117.16448809375</v>
      </c>
      <c r="S108" s="1162">
        <f t="shared" si="126"/>
        <v>311081.85106761754</v>
      </c>
      <c r="T108" s="1162">
        <f t="shared" si="126"/>
        <v>323525.1251103222</v>
      </c>
      <c r="U108" s="1162">
        <f t="shared" si="126"/>
        <v>336466.1301147351</v>
      </c>
      <c r="V108" s="1162">
        <f t="shared" si="126"/>
        <v>349924.77531932452</v>
      </c>
      <c r="W108" s="1162">
        <f>+W109+W123+W130</f>
        <v>363921.76633209753</v>
      </c>
    </row>
    <row r="109" spans="1:23">
      <c r="A109" s="398" t="str">
        <f>+Gastos!A128</f>
        <v>18A</v>
      </c>
      <c r="B109" s="1180" t="s">
        <v>1167</v>
      </c>
      <c r="C109" s="1162">
        <f>SUM(C110:C122)</f>
        <v>0</v>
      </c>
      <c r="D109" s="1162">
        <f>SUM(D110:D122)</f>
        <v>0</v>
      </c>
      <c r="E109" s="1162">
        <f>SUM(E110:E122)</f>
        <v>0</v>
      </c>
      <c r="F109" s="1162">
        <f>SUM(F110:F122)</f>
        <v>0</v>
      </c>
      <c r="G109" s="1162">
        <f>SUM(G110:G122)</f>
        <v>0</v>
      </c>
      <c r="H109" s="1162">
        <v>0</v>
      </c>
      <c r="I109" s="1162">
        <f>SUM(I110:I122)</f>
        <v>32271</v>
      </c>
      <c r="J109" s="1162">
        <f t="shared" ref="J109:P109" si="127">SUM(J110:J122)</f>
        <v>213561.84</v>
      </c>
      <c r="K109" s="1162">
        <f t="shared" si="127"/>
        <v>222104.31359999999</v>
      </c>
      <c r="L109" s="1162">
        <f t="shared" si="127"/>
        <v>230988.48614399999</v>
      </c>
      <c r="M109" s="1162">
        <f t="shared" si="127"/>
        <v>240227.50558976</v>
      </c>
      <c r="N109" s="1162">
        <f>SUM(N110:N122)</f>
        <v>249836.60581335041</v>
      </c>
      <c r="O109" s="1162">
        <f t="shared" si="127"/>
        <v>259830.07004588444</v>
      </c>
      <c r="P109" s="1162">
        <f t="shared" si="127"/>
        <v>270223.27284771984</v>
      </c>
      <c r="Q109" s="1162">
        <f t="shared" ref="Q109:V109" si="128">SUM(Q110:Q122)</f>
        <v>281032.2037616286</v>
      </c>
      <c r="R109" s="1162">
        <f t="shared" si="128"/>
        <v>292273.49191209377</v>
      </c>
      <c r="S109" s="1162">
        <f t="shared" si="128"/>
        <v>303964.43158857751</v>
      </c>
      <c r="T109" s="1162">
        <f t="shared" si="128"/>
        <v>316123.00885212061</v>
      </c>
      <c r="U109" s="1162">
        <f t="shared" si="128"/>
        <v>328767.92920620542</v>
      </c>
      <c r="V109" s="1162">
        <f t="shared" si="128"/>
        <v>341918.64637445367</v>
      </c>
      <c r="W109" s="1162">
        <f>SUM(W110:W122)</f>
        <v>355595.39222943183</v>
      </c>
    </row>
    <row r="110" spans="1:23">
      <c r="A110" s="397" t="str">
        <f>+Gastos!A129</f>
        <v>19A</v>
      </c>
      <c r="B110" s="1182" t="s">
        <v>850</v>
      </c>
      <c r="C110" s="1163"/>
      <c r="D110" s="1163"/>
      <c r="E110" s="1163"/>
      <c r="F110" s="1163"/>
      <c r="G110" s="1163">
        <f>+F110*1.04</f>
        <v>0</v>
      </c>
      <c r="H110" s="1163">
        <v>0</v>
      </c>
      <c r="I110" s="1163">
        <f>+'Ingresos Proyecciones'!I27</f>
        <v>32271</v>
      </c>
      <c r="J110" s="1163">
        <f>+'Ingresos Proyecciones'!J27</f>
        <v>213561.84</v>
      </c>
      <c r="K110" s="1163">
        <f>+'Ingresos Proyecciones'!K27</f>
        <v>222104.31359999999</v>
      </c>
      <c r="L110" s="1163">
        <f>+'Ingresos Proyecciones'!L27</f>
        <v>230988.48614399999</v>
      </c>
      <c r="M110" s="1163">
        <f>+'Ingresos Proyecciones'!M27+'Ingresos Proyecciones'!M74</f>
        <v>240227.50558976</v>
      </c>
      <c r="N110" s="1163">
        <f>+'Ingresos Proyecciones'!N27+'Ingresos Proyecciones'!N74</f>
        <v>249836.60581335041</v>
      </c>
      <c r="O110" s="1163">
        <f>+'Ingresos Proyecciones'!O27+'Ingresos Proyecciones'!O74</f>
        <v>259830.07004588444</v>
      </c>
      <c r="P110" s="1163">
        <f>+'Ingresos Proyecciones'!P27+'Ingresos Proyecciones'!P74</f>
        <v>270223.27284771984</v>
      </c>
      <c r="Q110" s="1163">
        <f>+'Ingresos Proyecciones'!Q27+'Ingresos Proyecciones'!Q74</f>
        <v>281032.2037616286</v>
      </c>
      <c r="R110" s="1163">
        <f>+'Ingresos Proyecciones'!R27+'Ingresos Proyecciones'!R74</f>
        <v>292273.49191209377</v>
      </c>
      <c r="S110" s="1163">
        <f>+'Ingresos Proyecciones'!S27+'Ingresos Proyecciones'!S74</f>
        <v>303964.43158857751</v>
      </c>
      <c r="T110" s="1163">
        <f>+'Ingresos Proyecciones'!T27+'Ingresos Proyecciones'!T74</f>
        <v>316123.00885212061</v>
      </c>
      <c r="U110" s="1163">
        <f>+'Ingresos Proyecciones'!U27+'Ingresos Proyecciones'!U74</f>
        <v>328767.92920620542</v>
      </c>
      <c r="V110" s="1163">
        <f>+'Ingresos Proyecciones'!V27+'Ingresos Proyecciones'!V74</f>
        <v>341918.64637445367</v>
      </c>
      <c r="W110" s="1163">
        <f>+'Ingresos Proyecciones'!W27+'Ingresos Proyecciones'!W74</f>
        <v>355595.39222943183</v>
      </c>
    </row>
    <row r="111" spans="1:23" hidden="1">
      <c r="A111" s="397" t="str">
        <f>+Gastos!A130</f>
        <v>20A</v>
      </c>
      <c r="B111" s="1182" t="s">
        <v>1168</v>
      </c>
      <c r="C111" s="1163"/>
      <c r="D111" s="1163"/>
      <c r="E111" s="1163"/>
      <c r="F111" s="1163"/>
      <c r="G111" s="1163">
        <f t="shared" ref="G111:P111" si="129">+F111*1.04</f>
        <v>0</v>
      </c>
      <c r="H111" s="1163">
        <v>0</v>
      </c>
      <c r="I111" s="1163">
        <f>+'Ingresos Proyecciones'!I72</f>
        <v>0</v>
      </c>
      <c r="J111" s="1163">
        <f t="shared" si="129"/>
        <v>0</v>
      </c>
      <c r="K111" s="1163">
        <f t="shared" si="129"/>
        <v>0</v>
      </c>
      <c r="L111" s="1163">
        <f t="shared" si="129"/>
        <v>0</v>
      </c>
      <c r="M111" s="1163">
        <f t="shared" si="129"/>
        <v>0</v>
      </c>
      <c r="N111" s="1163">
        <f t="shared" si="129"/>
        <v>0</v>
      </c>
      <c r="O111" s="1163">
        <f t="shared" si="129"/>
        <v>0</v>
      </c>
      <c r="P111" s="1163">
        <f t="shared" si="129"/>
        <v>0</v>
      </c>
      <c r="Q111" s="1163">
        <f t="shared" ref="Q111:U122" si="130">+P111*1.04</f>
        <v>0</v>
      </c>
      <c r="R111" s="1163">
        <f t="shared" si="130"/>
        <v>0</v>
      </c>
      <c r="S111" s="1163">
        <f t="shared" si="130"/>
        <v>0</v>
      </c>
      <c r="T111" s="1163">
        <f t="shared" si="130"/>
        <v>0</v>
      </c>
      <c r="U111" s="1163">
        <f t="shared" si="130"/>
        <v>0</v>
      </c>
      <c r="V111" s="1163">
        <f t="shared" ref="V111:W122" si="131">+U111*1.04</f>
        <v>0</v>
      </c>
      <c r="W111" s="1163">
        <f t="shared" si="131"/>
        <v>0</v>
      </c>
    </row>
    <row r="112" spans="1:23" hidden="1">
      <c r="A112" s="397" t="str">
        <f>+Gastos!A131</f>
        <v>21A</v>
      </c>
      <c r="B112" s="1182" t="str">
        <f>+Gastos!C131</f>
        <v xml:space="preserve">       Vivienda</v>
      </c>
      <c r="C112" s="1163"/>
      <c r="D112" s="1163"/>
      <c r="E112" s="1163"/>
      <c r="F112" s="1163"/>
      <c r="G112" s="1163">
        <f t="shared" ref="G112:P112" si="132">+F112*1.04</f>
        <v>0</v>
      </c>
      <c r="H112" s="1163">
        <v>0</v>
      </c>
      <c r="I112" s="1163">
        <f t="shared" si="132"/>
        <v>0</v>
      </c>
      <c r="J112" s="1163">
        <f t="shared" si="132"/>
        <v>0</v>
      </c>
      <c r="K112" s="1163">
        <f t="shared" si="132"/>
        <v>0</v>
      </c>
      <c r="L112" s="1163">
        <f t="shared" si="132"/>
        <v>0</v>
      </c>
      <c r="M112" s="1163">
        <f t="shared" si="132"/>
        <v>0</v>
      </c>
      <c r="N112" s="1163">
        <f t="shared" si="132"/>
        <v>0</v>
      </c>
      <c r="O112" s="1163">
        <f t="shared" si="132"/>
        <v>0</v>
      </c>
      <c r="P112" s="1163">
        <f t="shared" si="132"/>
        <v>0</v>
      </c>
      <c r="Q112" s="1163">
        <f t="shared" si="130"/>
        <v>0</v>
      </c>
      <c r="R112" s="1163">
        <f t="shared" si="130"/>
        <v>0</v>
      </c>
      <c r="S112" s="1163">
        <f t="shared" si="130"/>
        <v>0</v>
      </c>
      <c r="T112" s="1163">
        <f t="shared" si="130"/>
        <v>0</v>
      </c>
      <c r="U112" s="1163">
        <f t="shared" si="130"/>
        <v>0</v>
      </c>
      <c r="V112" s="1163">
        <f t="shared" si="131"/>
        <v>0</v>
      </c>
      <c r="W112" s="1163">
        <f t="shared" si="131"/>
        <v>0</v>
      </c>
    </row>
    <row r="113" spans="1:25" hidden="1">
      <c r="A113" s="397" t="str">
        <f>+Gastos!A132</f>
        <v>22A</v>
      </c>
      <c r="B113" s="1182" t="str">
        <f>+Gastos!C132</f>
        <v xml:space="preserve">       Educación</v>
      </c>
      <c r="C113" s="1163"/>
      <c r="D113" s="1163"/>
      <c r="E113" s="1163"/>
      <c r="F113" s="1163"/>
      <c r="G113" s="1163">
        <f t="shared" ref="G113:P113" si="133">+F113*1.04</f>
        <v>0</v>
      </c>
      <c r="H113" s="1163">
        <v>0</v>
      </c>
      <c r="I113" s="1163">
        <f t="shared" si="133"/>
        <v>0</v>
      </c>
      <c r="J113" s="1163">
        <f t="shared" si="133"/>
        <v>0</v>
      </c>
      <c r="K113" s="1163">
        <f t="shared" si="133"/>
        <v>0</v>
      </c>
      <c r="L113" s="1163">
        <f t="shared" si="133"/>
        <v>0</v>
      </c>
      <c r="M113" s="1163">
        <f t="shared" si="133"/>
        <v>0</v>
      </c>
      <c r="N113" s="1163">
        <f t="shared" si="133"/>
        <v>0</v>
      </c>
      <c r="O113" s="1163">
        <f t="shared" si="133"/>
        <v>0</v>
      </c>
      <c r="P113" s="1163">
        <f t="shared" si="133"/>
        <v>0</v>
      </c>
      <c r="Q113" s="1163">
        <f t="shared" si="130"/>
        <v>0</v>
      </c>
      <c r="R113" s="1163">
        <f t="shared" si="130"/>
        <v>0</v>
      </c>
      <c r="S113" s="1163">
        <f t="shared" si="130"/>
        <v>0</v>
      </c>
      <c r="T113" s="1163">
        <f t="shared" si="130"/>
        <v>0</v>
      </c>
      <c r="U113" s="1163">
        <f t="shared" si="130"/>
        <v>0</v>
      </c>
      <c r="V113" s="1163">
        <f t="shared" si="131"/>
        <v>0</v>
      </c>
      <c r="W113" s="1163">
        <f t="shared" si="131"/>
        <v>0</v>
      </c>
    </row>
    <row r="114" spans="1:25" hidden="1">
      <c r="A114" s="397" t="str">
        <f>+Gastos!A133</f>
        <v>23A</v>
      </c>
      <c r="B114" s="1182" t="str">
        <f>+Gastos!C133</f>
        <v xml:space="preserve">       Educación Física, Deporte y Recreación</v>
      </c>
      <c r="C114" s="1163"/>
      <c r="D114" s="1163"/>
      <c r="E114" s="1163"/>
      <c r="F114" s="1163"/>
      <c r="G114" s="1163">
        <f t="shared" ref="G114:P114" si="134">+F114*1.04</f>
        <v>0</v>
      </c>
      <c r="H114" s="1163">
        <v>0</v>
      </c>
      <c r="I114" s="1163">
        <f t="shared" si="134"/>
        <v>0</v>
      </c>
      <c r="J114" s="1163">
        <f t="shared" si="134"/>
        <v>0</v>
      </c>
      <c r="K114" s="1163">
        <f t="shared" si="134"/>
        <v>0</v>
      </c>
      <c r="L114" s="1163">
        <f t="shared" si="134"/>
        <v>0</v>
      </c>
      <c r="M114" s="1163">
        <f t="shared" si="134"/>
        <v>0</v>
      </c>
      <c r="N114" s="1163">
        <f t="shared" si="134"/>
        <v>0</v>
      </c>
      <c r="O114" s="1163">
        <f t="shared" si="134"/>
        <v>0</v>
      </c>
      <c r="P114" s="1163">
        <f t="shared" si="134"/>
        <v>0</v>
      </c>
      <c r="Q114" s="1163">
        <f t="shared" si="130"/>
        <v>0</v>
      </c>
      <c r="R114" s="1163">
        <f t="shared" si="130"/>
        <v>0</v>
      </c>
      <c r="S114" s="1163">
        <f t="shared" si="130"/>
        <v>0</v>
      </c>
      <c r="T114" s="1163">
        <f t="shared" si="130"/>
        <v>0</v>
      </c>
      <c r="U114" s="1163">
        <f t="shared" si="130"/>
        <v>0</v>
      </c>
      <c r="V114" s="1163">
        <f t="shared" si="131"/>
        <v>0</v>
      </c>
      <c r="W114" s="1163">
        <f t="shared" si="131"/>
        <v>0</v>
      </c>
    </row>
    <row r="115" spans="1:25" hidden="1">
      <c r="A115" s="409" t="str">
        <f>+Gastos!A134</f>
        <v>24A</v>
      </c>
      <c r="B115" s="1182" t="str">
        <f>+Gastos!C134</f>
        <v xml:space="preserve">       Salud</v>
      </c>
      <c r="C115" s="1163"/>
      <c r="D115" s="1163"/>
      <c r="E115" s="1163"/>
      <c r="F115" s="1163"/>
      <c r="G115" s="1163">
        <f t="shared" ref="G115:P115" si="135">+F115*1.04</f>
        <v>0</v>
      </c>
      <c r="H115" s="1163">
        <v>0</v>
      </c>
      <c r="I115" s="1163">
        <f t="shared" si="135"/>
        <v>0</v>
      </c>
      <c r="J115" s="1163">
        <f t="shared" si="135"/>
        <v>0</v>
      </c>
      <c r="K115" s="1163">
        <f t="shared" si="135"/>
        <v>0</v>
      </c>
      <c r="L115" s="1163">
        <f t="shared" si="135"/>
        <v>0</v>
      </c>
      <c r="M115" s="1163">
        <f t="shared" si="135"/>
        <v>0</v>
      </c>
      <c r="N115" s="1163">
        <f t="shared" si="135"/>
        <v>0</v>
      </c>
      <c r="O115" s="1163">
        <f t="shared" si="135"/>
        <v>0</v>
      </c>
      <c r="P115" s="1163">
        <f t="shared" si="135"/>
        <v>0</v>
      </c>
      <c r="Q115" s="1163">
        <f t="shared" si="130"/>
        <v>0</v>
      </c>
      <c r="R115" s="1163">
        <f t="shared" si="130"/>
        <v>0</v>
      </c>
      <c r="S115" s="1163">
        <f t="shared" si="130"/>
        <v>0</v>
      </c>
      <c r="T115" s="1163">
        <f t="shared" si="130"/>
        <v>0</v>
      </c>
      <c r="U115" s="1163">
        <f t="shared" si="130"/>
        <v>0</v>
      </c>
      <c r="V115" s="1163">
        <f t="shared" si="131"/>
        <v>0</v>
      </c>
      <c r="W115" s="1163">
        <f t="shared" si="131"/>
        <v>0</v>
      </c>
    </row>
    <row r="116" spans="1:25" hidden="1">
      <c r="A116" s="409" t="str">
        <f>+Gastos!A135</f>
        <v>25A</v>
      </c>
      <c r="B116" s="1182" t="str">
        <f>+Gastos!C135</f>
        <v xml:space="preserve">       Cultura</v>
      </c>
      <c r="C116" s="1163"/>
      <c r="D116" s="1163"/>
      <c r="E116" s="1163"/>
      <c r="F116" s="1163"/>
      <c r="G116" s="1163">
        <f t="shared" ref="G116:P116" si="136">+F116*1.04</f>
        <v>0</v>
      </c>
      <c r="H116" s="1163">
        <v>0</v>
      </c>
      <c r="I116" s="1163">
        <f t="shared" si="136"/>
        <v>0</v>
      </c>
      <c r="J116" s="1163">
        <f t="shared" si="136"/>
        <v>0</v>
      </c>
      <c r="K116" s="1163">
        <f t="shared" si="136"/>
        <v>0</v>
      </c>
      <c r="L116" s="1163">
        <f t="shared" si="136"/>
        <v>0</v>
      </c>
      <c r="M116" s="1163">
        <f t="shared" si="136"/>
        <v>0</v>
      </c>
      <c r="N116" s="1163">
        <f t="shared" si="136"/>
        <v>0</v>
      </c>
      <c r="O116" s="1163">
        <f t="shared" si="136"/>
        <v>0</v>
      </c>
      <c r="P116" s="1163">
        <f t="shared" si="136"/>
        <v>0</v>
      </c>
      <c r="Q116" s="1163">
        <f t="shared" si="130"/>
        <v>0</v>
      </c>
      <c r="R116" s="1163">
        <f t="shared" si="130"/>
        <v>0</v>
      </c>
      <c r="S116" s="1163">
        <f t="shared" si="130"/>
        <v>0</v>
      </c>
      <c r="T116" s="1163">
        <f t="shared" si="130"/>
        <v>0</v>
      </c>
      <c r="U116" s="1163">
        <f t="shared" si="130"/>
        <v>0</v>
      </c>
      <c r="V116" s="1163">
        <f t="shared" si="131"/>
        <v>0</v>
      </c>
      <c r="W116" s="1163">
        <f t="shared" si="131"/>
        <v>0</v>
      </c>
    </row>
    <row r="117" spans="1:25" hidden="1">
      <c r="A117" s="409" t="str">
        <f>+Gastos!A136</f>
        <v>26A</v>
      </c>
      <c r="B117" s="1182" t="str">
        <f>+Gastos!C136</f>
        <v xml:space="preserve">       Sector Energético</v>
      </c>
      <c r="C117" s="1163"/>
      <c r="D117" s="1163"/>
      <c r="E117" s="1163"/>
      <c r="F117" s="1163"/>
      <c r="G117" s="1163">
        <f t="shared" ref="G117:P117" si="137">+F117*1.04</f>
        <v>0</v>
      </c>
      <c r="H117" s="1163">
        <v>0</v>
      </c>
      <c r="I117" s="1163">
        <f t="shared" si="137"/>
        <v>0</v>
      </c>
      <c r="J117" s="1163">
        <f t="shared" si="137"/>
        <v>0</v>
      </c>
      <c r="K117" s="1163">
        <f t="shared" si="137"/>
        <v>0</v>
      </c>
      <c r="L117" s="1163">
        <f t="shared" si="137"/>
        <v>0</v>
      </c>
      <c r="M117" s="1163">
        <f t="shared" si="137"/>
        <v>0</v>
      </c>
      <c r="N117" s="1163">
        <f t="shared" si="137"/>
        <v>0</v>
      </c>
      <c r="O117" s="1163">
        <f t="shared" si="137"/>
        <v>0</v>
      </c>
      <c r="P117" s="1163">
        <f t="shared" si="137"/>
        <v>0</v>
      </c>
      <c r="Q117" s="1163">
        <f t="shared" si="130"/>
        <v>0</v>
      </c>
      <c r="R117" s="1163">
        <f t="shared" si="130"/>
        <v>0</v>
      </c>
      <c r="S117" s="1163">
        <f t="shared" si="130"/>
        <v>0</v>
      </c>
      <c r="T117" s="1163">
        <f t="shared" si="130"/>
        <v>0</v>
      </c>
      <c r="U117" s="1163">
        <f t="shared" si="130"/>
        <v>0</v>
      </c>
      <c r="V117" s="1163">
        <f t="shared" si="131"/>
        <v>0</v>
      </c>
      <c r="W117" s="1163">
        <f t="shared" si="131"/>
        <v>0</v>
      </c>
    </row>
    <row r="118" spans="1:25" hidden="1">
      <c r="A118" s="409" t="str">
        <f>+Gastos!A137</f>
        <v>27A</v>
      </c>
      <c r="B118" s="1182" t="str">
        <f>+Gastos!C137</f>
        <v xml:space="preserve">       Desarrollo Agropecuario y Minero</v>
      </c>
      <c r="C118" s="1163"/>
      <c r="D118" s="1163"/>
      <c r="E118" s="1163"/>
      <c r="F118" s="1163"/>
      <c r="G118" s="1163">
        <f t="shared" ref="G118:P118" si="138">+F118*1.04</f>
        <v>0</v>
      </c>
      <c r="H118" s="1163">
        <v>0</v>
      </c>
      <c r="I118" s="1163">
        <f t="shared" si="138"/>
        <v>0</v>
      </c>
      <c r="J118" s="1163">
        <f t="shared" si="138"/>
        <v>0</v>
      </c>
      <c r="K118" s="1163">
        <f t="shared" si="138"/>
        <v>0</v>
      </c>
      <c r="L118" s="1163">
        <f t="shared" si="138"/>
        <v>0</v>
      </c>
      <c r="M118" s="1163">
        <f t="shared" si="138"/>
        <v>0</v>
      </c>
      <c r="N118" s="1163">
        <f t="shared" si="138"/>
        <v>0</v>
      </c>
      <c r="O118" s="1163">
        <f t="shared" si="138"/>
        <v>0</v>
      </c>
      <c r="P118" s="1163">
        <f t="shared" si="138"/>
        <v>0</v>
      </c>
      <c r="Q118" s="1163">
        <f t="shared" si="130"/>
        <v>0</v>
      </c>
      <c r="R118" s="1163">
        <f t="shared" si="130"/>
        <v>0</v>
      </c>
      <c r="S118" s="1163">
        <f t="shared" si="130"/>
        <v>0</v>
      </c>
      <c r="T118" s="1163">
        <f t="shared" si="130"/>
        <v>0</v>
      </c>
      <c r="U118" s="1163">
        <f t="shared" si="130"/>
        <v>0</v>
      </c>
      <c r="V118" s="1163">
        <f t="shared" si="131"/>
        <v>0</v>
      </c>
      <c r="W118" s="1163">
        <f t="shared" si="131"/>
        <v>0</v>
      </c>
    </row>
    <row r="119" spans="1:25" hidden="1">
      <c r="A119" s="409" t="str">
        <f>+Gastos!A138</f>
        <v>28A</v>
      </c>
      <c r="B119" s="1182" t="str">
        <f>+Gastos!C138</f>
        <v xml:space="preserve">       Infraestructura Urbana</v>
      </c>
      <c r="C119" s="1163"/>
      <c r="D119" s="1163"/>
      <c r="E119" s="1163"/>
      <c r="F119" s="1163"/>
      <c r="G119" s="1163">
        <f t="shared" ref="G119:P119" si="139">+F119*1.04</f>
        <v>0</v>
      </c>
      <c r="H119" s="1163">
        <v>0</v>
      </c>
      <c r="I119" s="1163">
        <f t="shared" si="139"/>
        <v>0</v>
      </c>
      <c r="J119" s="1163">
        <f t="shared" si="139"/>
        <v>0</v>
      </c>
      <c r="K119" s="1163">
        <f t="shared" si="139"/>
        <v>0</v>
      </c>
      <c r="L119" s="1163">
        <f t="shared" si="139"/>
        <v>0</v>
      </c>
      <c r="M119" s="1163">
        <f t="shared" si="139"/>
        <v>0</v>
      </c>
      <c r="N119" s="1163">
        <f t="shared" si="139"/>
        <v>0</v>
      </c>
      <c r="O119" s="1163">
        <f t="shared" si="139"/>
        <v>0</v>
      </c>
      <c r="P119" s="1163">
        <f t="shared" si="139"/>
        <v>0</v>
      </c>
      <c r="Q119" s="1163">
        <f t="shared" si="130"/>
        <v>0</v>
      </c>
      <c r="R119" s="1163">
        <f t="shared" si="130"/>
        <v>0</v>
      </c>
      <c r="S119" s="1163">
        <f t="shared" si="130"/>
        <v>0</v>
      </c>
      <c r="T119" s="1163">
        <f t="shared" si="130"/>
        <v>0</v>
      </c>
      <c r="U119" s="1163">
        <f t="shared" si="130"/>
        <v>0</v>
      </c>
      <c r="V119" s="1163">
        <f t="shared" si="131"/>
        <v>0</v>
      </c>
      <c r="W119" s="1163">
        <f t="shared" si="131"/>
        <v>0</v>
      </c>
    </row>
    <row r="120" spans="1:25" hidden="1">
      <c r="A120" s="397" t="str">
        <f>+Gastos!A139</f>
        <v>29A</v>
      </c>
      <c r="B120" s="1182" t="str">
        <f>+Gastos!C139</f>
        <v xml:space="preserve">       Desarrollo de la comunidad</v>
      </c>
      <c r="C120" s="1163"/>
      <c r="D120" s="1163"/>
      <c r="E120" s="1163"/>
      <c r="F120" s="1163"/>
      <c r="G120" s="1163">
        <f t="shared" ref="G120:P120" si="140">+F120*1.04</f>
        <v>0</v>
      </c>
      <c r="H120" s="1163">
        <v>0</v>
      </c>
      <c r="I120" s="1163">
        <f t="shared" si="140"/>
        <v>0</v>
      </c>
      <c r="J120" s="1163">
        <f t="shared" si="140"/>
        <v>0</v>
      </c>
      <c r="K120" s="1163">
        <f t="shared" si="140"/>
        <v>0</v>
      </c>
      <c r="L120" s="1163">
        <f t="shared" si="140"/>
        <v>0</v>
      </c>
      <c r="M120" s="1163">
        <f t="shared" si="140"/>
        <v>0</v>
      </c>
      <c r="N120" s="1163">
        <f t="shared" si="140"/>
        <v>0</v>
      </c>
      <c r="O120" s="1163">
        <f t="shared" si="140"/>
        <v>0</v>
      </c>
      <c r="P120" s="1163">
        <f t="shared" si="140"/>
        <v>0</v>
      </c>
      <c r="Q120" s="1163">
        <f t="shared" si="130"/>
        <v>0</v>
      </c>
      <c r="R120" s="1163">
        <f t="shared" si="130"/>
        <v>0</v>
      </c>
      <c r="S120" s="1163">
        <f t="shared" si="130"/>
        <v>0</v>
      </c>
      <c r="T120" s="1163">
        <f t="shared" si="130"/>
        <v>0</v>
      </c>
      <c r="U120" s="1163">
        <f t="shared" si="130"/>
        <v>0</v>
      </c>
      <c r="V120" s="1163">
        <f t="shared" si="131"/>
        <v>0</v>
      </c>
      <c r="W120" s="1163">
        <f t="shared" si="131"/>
        <v>0</v>
      </c>
    </row>
    <row r="121" spans="1:25" hidden="1">
      <c r="A121" s="397" t="str">
        <f>+Gastos!A140</f>
        <v>30A</v>
      </c>
      <c r="B121" s="1182" t="str">
        <f>+Gastos!C140</f>
        <v xml:space="preserve">       Justicia, defensa y seguridad</v>
      </c>
      <c r="C121" s="1163"/>
      <c r="D121" s="1163"/>
      <c r="E121" s="1163"/>
      <c r="F121" s="1163"/>
      <c r="G121" s="1163">
        <f t="shared" ref="G121:P121" si="141">+F121*1.04</f>
        <v>0</v>
      </c>
      <c r="H121" s="1163">
        <v>0</v>
      </c>
      <c r="I121" s="1163">
        <f t="shared" si="141"/>
        <v>0</v>
      </c>
      <c r="J121" s="1163">
        <f t="shared" si="141"/>
        <v>0</v>
      </c>
      <c r="K121" s="1163">
        <f t="shared" si="141"/>
        <v>0</v>
      </c>
      <c r="L121" s="1163">
        <f t="shared" si="141"/>
        <v>0</v>
      </c>
      <c r="M121" s="1163">
        <f t="shared" si="141"/>
        <v>0</v>
      </c>
      <c r="N121" s="1163">
        <f t="shared" si="141"/>
        <v>0</v>
      </c>
      <c r="O121" s="1163">
        <f t="shared" si="141"/>
        <v>0</v>
      </c>
      <c r="P121" s="1163">
        <f t="shared" si="141"/>
        <v>0</v>
      </c>
      <c r="Q121" s="1163">
        <f t="shared" si="130"/>
        <v>0</v>
      </c>
      <c r="R121" s="1163">
        <f t="shared" si="130"/>
        <v>0</v>
      </c>
      <c r="S121" s="1163">
        <f t="shared" si="130"/>
        <v>0</v>
      </c>
      <c r="T121" s="1163">
        <f t="shared" si="130"/>
        <v>0</v>
      </c>
      <c r="U121" s="1163">
        <f t="shared" si="130"/>
        <v>0</v>
      </c>
      <c r="V121" s="1163">
        <f t="shared" si="131"/>
        <v>0</v>
      </c>
      <c r="W121" s="1163">
        <f t="shared" si="131"/>
        <v>0</v>
      </c>
    </row>
    <row r="122" spans="1:25" hidden="1">
      <c r="A122" s="409" t="str">
        <f>+Gastos!A141</f>
        <v>31A</v>
      </c>
      <c r="B122" s="1182" t="str">
        <f>+Gastos!C141</f>
        <v xml:space="preserve">       Otros</v>
      </c>
      <c r="C122" s="1163"/>
      <c r="D122" s="1163"/>
      <c r="E122" s="1163"/>
      <c r="F122" s="1163"/>
      <c r="G122" s="1163">
        <f t="shared" ref="G122:P122" si="142">+F122*1.04</f>
        <v>0</v>
      </c>
      <c r="H122" s="1163">
        <v>0</v>
      </c>
      <c r="I122" s="1163">
        <f t="shared" si="142"/>
        <v>0</v>
      </c>
      <c r="J122" s="1163">
        <f t="shared" si="142"/>
        <v>0</v>
      </c>
      <c r="K122" s="1163">
        <f t="shared" si="142"/>
        <v>0</v>
      </c>
      <c r="L122" s="1163">
        <f t="shared" si="142"/>
        <v>0</v>
      </c>
      <c r="M122" s="1163">
        <f t="shared" si="142"/>
        <v>0</v>
      </c>
      <c r="N122" s="1163">
        <f t="shared" si="142"/>
        <v>0</v>
      </c>
      <c r="O122" s="1163">
        <f t="shared" si="142"/>
        <v>0</v>
      </c>
      <c r="P122" s="1163">
        <f t="shared" si="142"/>
        <v>0</v>
      </c>
      <c r="Q122" s="1163">
        <f t="shared" si="130"/>
        <v>0</v>
      </c>
      <c r="R122" s="1163">
        <f t="shared" si="130"/>
        <v>0</v>
      </c>
      <c r="S122" s="1163">
        <f t="shared" si="130"/>
        <v>0</v>
      </c>
      <c r="T122" s="1163">
        <f t="shared" si="130"/>
        <v>0</v>
      </c>
      <c r="U122" s="1163">
        <f t="shared" si="130"/>
        <v>0</v>
      </c>
      <c r="V122" s="1163">
        <f t="shared" si="131"/>
        <v>0</v>
      </c>
      <c r="W122" s="1163">
        <f t="shared" si="131"/>
        <v>0</v>
      </c>
    </row>
    <row r="123" spans="1:25">
      <c r="A123" s="409" t="str">
        <f>+Gastos!A142</f>
        <v>32A</v>
      </c>
      <c r="B123" s="1180" t="s">
        <v>1169</v>
      </c>
      <c r="C123" s="1162">
        <f>SUM(C124:C129)</f>
        <v>0</v>
      </c>
      <c r="D123" s="1162">
        <f t="shared" ref="D123:P123" si="143">SUM(D124:D129)</f>
        <v>0</v>
      </c>
      <c r="E123" s="1162">
        <f t="shared" si="143"/>
        <v>0</v>
      </c>
      <c r="F123" s="1162">
        <f t="shared" si="143"/>
        <v>709643</v>
      </c>
      <c r="G123" s="1162">
        <f t="shared" si="143"/>
        <v>0</v>
      </c>
      <c r="H123" s="1162">
        <v>0</v>
      </c>
      <c r="I123" s="1162">
        <f t="shared" si="143"/>
        <v>562</v>
      </c>
      <c r="J123" s="1162">
        <f t="shared" si="143"/>
        <v>5000</v>
      </c>
      <c r="K123" s="1162">
        <f t="shared" si="143"/>
        <v>5200</v>
      </c>
      <c r="L123" s="1162">
        <f t="shared" si="143"/>
        <v>5408</v>
      </c>
      <c r="M123" s="1162">
        <f t="shared" si="143"/>
        <v>5625</v>
      </c>
      <c r="N123" s="1162">
        <f>SUM(N124:N129)</f>
        <v>5850</v>
      </c>
      <c r="O123" s="1162">
        <f t="shared" si="143"/>
        <v>6084</v>
      </c>
      <c r="P123" s="1162">
        <f t="shared" si="143"/>
        <v>6327.3600000000006</v>
      </c>
      <c r="Q123" s="1162">
        <f t="shared" ref="Q123:V123" si="144">SUM(Q124:Q129)</f>
        <v>6580.4544000000005</v>
      </c>
      <c r="R123" s="1162">
        <f t="shared" si="144"/>
        <v>6843.6725760000008</v>
      </c>
      <c r="S123" s="1162">
        <f t="shared" si="144"/>
        <v>7117.4194790400015</v>
      </c>
      <c r="T123" s="1162">
        <f t="shared" si="144"/>
        <v>7402.1162582016022</v>
      </c>
      <c r="U123" s="1162">
        <f t="shared" si="144"/>
        <v>7698.2009085296668</v>
      </c>
      <c r="V123" s="1162">
        <f t="shared" si="144"/>
        <v>8006.128944870854</v>
      </c>
      <c r="W123" s="1162">
        <f>SUM(W124:W129)</f>
        <v>8326.374102665688</v>
      </c>
      <c r="Y123" s="967"/>
    </row>
    <row r="124" spans="1:25">
      <c r="A124" s="400" t="str">
        <f>+Gastos!A143</f>
        <v>2240212</v>
      </c>
      <c r="B124" s="1182" t="s">
        <v>1170</v>
      </c>
      <c r="C124" s="1163"/>
      <c r="D124" s="1163"/>
      <c r="E124" s="1163"/>
      <c r="F124" s="1163">
        <v>709643</v>
      </c>
      <c r="G124" s="1163">
        <v>0</v>
      </c>
      <c r="H124" s="1163">
        <v>0</v>
      </c>
      <c r="I124" s="1163">
        <f>+'Ingresos Proyecciones'!I79</f>
        <v>562</v>
      </c>
      <c r="J124" s="1163">
        <f>+'Ingresos Proyecciones'!J79</f>
        <v>5000</v>
      </c>
      <c r="K124" s="1163">
        <f>+'Ingresos Proyecciones'!K79</f>
        <v>5200</v>
      </c>
      <c r="L124" s="1163">
        <f>+'Ingresos Proyecciones'!L79</f>
        <v>5408</v>
      </c>
      <c r="M124" s="1163">
        <f>+'Ingresos Proyecciones'!M79</f>
        <v>5625</v>
      </c>
      <c r="N124" s="1163">
        <f>+'Ingresos Proyecciones'!N79</f>
        <v>5850</v>
      </c>
      <c r="O124" s="1163">
        <f>+'Ingresos Proyecciones'!O79</f>
        <v>6084</v>
      </c>
      <c r="P124" s="1163">
        <f>+'Ingresos Proyecciones'!P79</f>
        <v>6327.3600000000006</v>
      </c>
      <c r="Q124" s="1163">
        <f>+'Ingresos Proyecciones'!Q79</f>
        <v>6580.4544000000005</v>
      </c>
      <c r="R124" s="1163">
        <f>+'Ingresos Proyecciones'!R79</f>
        <v>6843.6725760000008</v>
      </c>
      <c r="S124" s="1163">
        <f>+'Ingresos Proyecciones'!S79</f>
        <v>7117.4194790400015</v>
      </c>
      <c r="T124" s="1163">
        <f>+'Ingresos Proyecciones'!T79</f>
        <v>7402.1162582016022</v>
      </c>
      <c r="U124" s="1163">
        <f>+'Ingresos Proyecciones'!U79</f>
        <v>7698.2009085296668</v>
      </c>
      <c r="V124" s="1163">
        <f>+'Ingresos Proyecciones'!V79</f>
        <v>8006.128944870854</v>
      </c>
      <c r="W124" s="1163">
        <f>+'Ingresos Proyecciones'!W79</f>
        <v>8326.374102665688</v>
      </c>
    </row>
    <row r="125" spans="1:25" hidden="1">
      <c r="A125" s="409" t="str">
        <f>+Gastos!A144</f>
        <v>33A</v>
      </c>
      <c r="B125" s="1182" t="str">
        <f>+Gastos!C144</f>
        <v xml:space="preserve">       Vivienda</v>
      </c>
      <c r="C125" s="1163"/>
      <c r="D125" s="1163"/>
      <c r="E125" s="1163"/>
      <c r="F125" s="1163"/>
      <c r="G125" s="1163">
        <f t="shared" ref="G125:P125" si="145">+F125*1.04</f>
        <v>0</v>
      </c>
      <c r="H125" s="1163">
        <v>0</v>
      </c>
      <c r="I125" s="1163">
        <f t="shared" si="145"/>
        <v>0</v>
      </c>
      <c r="J125" s="1163">
        <f t="shared" si="145"/>
        <v>0</v>
      </c>
      <c r="K125" s="1163">
        <f t="shared" si="145"/>
        <v>0</v>
      </c>
      <c r="L125" s="1163">
        <f t="shared" si="145"/>
        <v>0</v>
      </c>
      <c r="M125" s="1163">
        <f t="shared" si="145"/>
        <v>0</v>
      </c>
      <c r="N125" s="1163">
        <f t="shared" si="145"/>
        <v>0</v>
      </c>
      <c r="O125" s="1163">
        <f t="shared" si="145"/>
        <v>0</v>
      </c>
      <c r="P125" s="1163">
        <f t="shared" si="145"/>
        <v>0</v>
      </c>
      <c r="Q125" s="1163">
        <f t="shared" ref="Q125:U129" si="146">+P125*1.04</f>
        <v>0</v>
      </c>
      <c r="R125" s="1163">
        <f t="shared" si="146"/>
        <v>0</v>
      </c>
      <c r="S125" s="1163">
        <f t="shared" si="146"/>
        <v>0</v>
      </c>
      <c r="T125" s="1163">
        <f t="shared" si="146"/>
        <v>0</v>
      </c>
      <c r="U125" s="1163">
        <f t="shared" si="146"/>
        <v>0</v>
      </c>
      <c r="V125" s="1163">
        <f t="shared" ref="V125:W129" si="147">+U125*1.04</f>
        <v>0</v>
      </c>
      <c r="W125" s="1163">
        <f t="shared" si="147"/>
        <v>0</v>
      </c>
    </row>
    <row r="126" spans="1:25" hidden="1">
      <c r="A126" s="400" t="str">
        <f>+Gastos!A145</f>
        <v>2241012</v>
      </c>
      <c r="B126" s="1182" t="str">
        <f>+Gastos!C145</f>
        <v xml:space="preserve">       Educación</v>
      </c>
      <c r="C126" s="1163"/>
      <c r="D126" s="1163"/>
      <c r="E126" s="1163"/>
      <c r="F126" s="1163"/>
      <c r="G126" s="1163">
        <f t="shared" ref="G126:P126" si="148">+F126*1.04</f>
        <v>0</v>
      </c>
      <c r="H126" s="1163">
        <v>0</v>
      </c>
      <c r="I126" s="1163">
        <f t="shared" si="148"/>
        <v>0</v>
      </c>
      <c r="J126" s="1163">
        <f t="shared" si="148"/>
        <v>0</v>
      </c>
      <c r="K126" s="1163">
        <f t="shared" si="148"/>
        <v>0</v>
      </c>
      <c r="L126" s="1163">
        <f t="shared" si="148"/>
        <v>0</v>
      </c>
      <c r="M126" s="1163">
        <f t="shared" si="148"/>
        <v>0</v>
      </c>
      <c r="N126" s="1163">
        <f t="shared" si="148"/>
        <v>0</v>
      </c>
      <c r="O126" s="1163">
        <f t="shared" si="148"/>
        <v>0</v>
      </c>
      <c r="P126" s="1163">
        <f t="shared" si="148"/>
        <v>0</v>
      </c>
      <c r="Q126" s="1163">
        <f t="shared" si="146"/>
        <v>0</v>
      </c>
      <c r="R126" s="1163">
        <f t="shared" si="146"/>
        <v>0</v>
      </c>
      <c r="S126" s="1163">
        <f t="shared" si="146"/>
        <v>0</v>
      </c>
      <c r="T126" s="1163">
        <f t="shared" si="146"/>
        <v>0</v>
      </c>
      <c r="U126" s="1163">
        <f t="shared" si="146"/>
        <v>0</v>
      </c>
      <c r="V126" s="1163">
        <f t="shared" si="147"/>
        <v>0</v>
      </c>
      <c r="W126" s="1163">
        <f t="shared" si="147"/>
        <v>0</v>
      </c>
    </row>
    <row r="127" spans="1:25" hidden="1">
      <c r="A127" s="400" t="str">
        <f>+Gastos!A146</f>
        <v>2241612</v>
      </c>
      <c r="B127" s="1182" t="str">
        <f>+Gastos!C146</f>
        <v xml:space="preserve">       Salud</v>
      </c>
      <c r="C127" s="1163"/>
      <c r="D127" s="1163"/>
      <c r="E127" s="1163"/>
      <c r="F127" s="1163"/>
      <c r="G127" s="1163">
        <f t="shared" ref="G127:P127" si="149">+F127*1.04</f>
        <v>0</v>
      </c>
      <c r="H127" s="1163">
        <v>0</v>
      </c>
      <c r="I127" s="1163">
        <f t="shared" si="149"/>
        <v>0</v>
      </c>
      <c r="J127" s="1163">
        <f t="shared" si="149"/>
        <v>0</v>
      </c>
      <c r="K127" s="1163">
        <f t="shared" si="149"/>
        <v>0</v>
      </c>
      <c r="L127" s="1163">
        <f t="shared" si="149"/>
        <v>0</v>
      </c>
      <c r="M127" s="1163">
        <f t="shared" si="149"/>
        <v>0</v>
      </c>
      <c r="N127" s="1163">
        <f t="shared" si="149"/>
        <v>0</v>
      </c>
      <c r="O127" s="1163">
        <f t="shared" si="149"/>
        <v>0</v>
      </c>
      <c r="P127" s="1163">
        <f t="shared" si="149"/>
        <v>0</v>
      </c>
      <c r="Q127" s="1163">
        <f t="shared" si="146"/>
        <v>0</v>
      </c>
      <c r="R127" s="1163">
        <f t="shared" si="146"/>
        <v>0</v>
      </c>
      <c r="S127" s="1163">
        <f t="shared" si="146"/>
        <v>0</v>
      </c>
      <c r="T127" s="1163">
        <f t="shared" si="146"/>
        <v>0</v>
      </c>
      <c r="U127" s="1163">
        <f t="shared" si="146"/>
        <v>0</v>
      </c>
      <c r="V127" s="1163">
        <f t="shared" si="147"/>
        <v>0</v>
      </c>
      <c r="W127" s="1163">
        <f t="shared" si="147"/>
        <v>0</v>
      </c>
    </row>
    <row r="128" spans="1:25" hidden="1">
      <c r="A128" s="409" t="str">
        <f>+Gastos!A147</f>
        <v>34A</v>
      </c>
      <c r="B128" s="1182" t="str">
        <f>+Gastos!C147</f>
        <v xml:space="preserve">       Sector Energético</v>
      </c>
      <c r="C128" s="1163"/>
      <c r="D128" s="1163"/>
      <c r="E128" s="1163"/>
      <c r="F128" s="1163"/>
      <c r="G128" s="1163">
        <f t="shared" ref="G128:P128" si="150">+F128*1.04</f>
        <v>0</v>
      </c>
      <c r="H128" s="1163">
        <v>0</v>
      </c>
      <c r="I128" s="1163">
        <f t="shared" si="150"/>
        <v>0</v>
      </c>
      <c r="J128" s="1163">
        <f t="shared" si="150"/>
        <v>0</v>
      </c>
      <c r="K128" s="1163">
        <f t="shared" si="150"/>
        <v>0</v>
      </c>
      <c r="L128" s="1163">
        <f t="shared" si="150"/>
        <v>0</v>
      </c>
      <c r="M128" s="1163">
        <f t="shared" si="150"/>
        <v>0</v>
      </c>
      <c r="N128" s="1163">
        <f t="shared" si="150"/>
        <v>0</v>
      </c>
      <c r="O128" s="1163">
        <f t="shared" si="150"/>
        <v>0</v>
      </c>
      <c r="P128" s="1163">
        <f t="shared" si="150"/>
        <v>0</v>
      </c>
      <c r="Q128" s="1163">
        <f t="shared" si="146"/>
        <v>0</v>
      </c>
      <c r="R128" s="1163">
        <f t="shared" si="146"/>
        <v>0</v>
      </c>
      <c r="S128" s="1163">
        <f t="shared" si="146"/>
        <v>0</v>
      </c>
      <c r="T128" s="1163">
        <f t="shared" si="146"/>
        <v>0</v>
      </c>
      <c r="U128" s="1163">
        <f t="shared" si="146"/>
        <v>0</v>
      </c>
      <c r="V128" s="1163">
        <f t="shared" si="147"/>
        <v>0</v>
      </c>
      <c r="W128" s="1163">
        <f t="shared" si="147"/>
        <v>0</v>
      </c>
    </row>
    <row r="129" spans="1:23" hidden="1">
      <c r="A129" s="400" t="str">
        <f>+Gastos!A148</f>
        <v>2242212</v>
      </c>
      <c r="B129" s="1182" t="str">
        <f>+Gastos!C148</f>
        <v xml:space="preserve">       Desarrollo Agropecuario y Minero</v>
      </c>
      <c r="C129" s="1163"/>
      <c r="D129" s="1163"/>
      <c r="E129" s="1163"/>
      <c r="F129" s="1163"/>
      <c r="G129" s="1163">
        <f t="shared" ref="G129:P129" si="151">+F129*1.04</f>
        <v>0</v>
      </c>
      <c r="H129" s="1163">
        <v>0</v>
      </c>
      <c r="I129" s="1163">
        <f t="shared" si="151"/>
        <v>0</v>
      </c>
      <c r="J129" s="1163">
        <f t="shared" si="151"/>
        <v>0</v>
      </c>
      <c r="K129" s="1163">
        <f t="shared" si="151"/>
        <v>0</v>
      </c>
      <c r="L129" s="1163">
        <f t="shared" si="151"/>
        <v>0</v>
      </c>
      <c r="M129" s="1163">
        <f t="shared" si="151"/>
        <v>0</v>
      </c>
      <c r="N129" s="1163">
        <f t="shared" si="151"/>
        <v>0</v>
      </c>
      <c r="O129" s="1163">
        <f t="shared" si="151"/>
        <v>0</v>
      </c>
      <c r="P129" s="1163">
        <f t="shared" si="151"/>
        <v>0</v>
      </c>
      <c r="Q129" s="1163">
        <f t="shared" si="146"/>
        <v>0</v>
      </c>
      <c r="R129" s="1163">
        <f t="shared" si="146"/>
        <v>0</v>
      </c>
      <c r="S129" s="1163">
        <f t="shared" si="146"/>
        <v>0</v>
      </c>
      <c r="T129" s="1163">
        <f t="shared" si="146"/>
        <v>0</v>
      </c>
      <c r="U129" s="1163">
        <f t="shared" si="146"/>
        <v>0</v>
      </c>
      <c r="V129" s="1163">
        <f t="shared" si="147"/>
        <v>0</v>
      </c>
      <c r="W129" s="1163">
        <f t="shared" si="147"/>
        <v>0</v>
      </c>
    </row>
    <row r="130" spans="1:23" ht="33.75" hidden="1">
      <c r="A130" s="409" t="str">
        <f>+Gastos!A149</f>
        <v>35A</v>
      </c>
      <c r="B130" s="1180" t="str">
        <f>+Gastos!C149</f>
        <v xml:space="preserve">    Formación Bruta de capital  y otros (construcción, reparación, mantenimiento, asistencia técnica, preinversión, etc)</v>
      </c>
      <c r="C130" s="1162">
        <f>SUM(C131:C144)</f>
        <v>0</v>
      </c>
      <c r="D130" s="1162">
        <f t="shared" ref="D130:P130" si="152">SUM(D131:D144)</f>
        <v>0</v>
      </c>
      <c r="E130" s="1162">
        <f t="shared" si="152"/>
        <v>0</v>
      </c>
      <c r="F130" s="1162">
        <f t="shared" si="152"/>
        <v>0</v>
      </c>
      <c r="G130" s="1162">
        <f t="shared" si="152"/>
        <v>0</v>
      </c>
      <c r="H130" s="1162">
        <v>0</v>
      </c>
      <c r="I130" s="1162">
        <f t="shared" si="152"/>
        <v>0</v>
      </c>
      <c r="J130" s="1162">
        <f t="shared" si="152"/>
        <v>0</v>
      </c>
      <c r="K130" s="1162">
        <f t="shared" si="152"/>
        <v>0</v>
      </c>
      <c r="L130" s="1162">
        <f t="shared" si="152"/>
        <v>0</v>
      </c>
      <c r="M130" s="1162">
        <f t="shared" si="152"/>
        <v>0</v>
      </c>
      <c r="N130" s="1162">
        <f t="shared" si="152"/>
        <v>0</v>
      </c>
      <c r="O130" s="1162">
        <f t="shared" si="152"/>
        <v>0</v>
      </c>
      <c r="P130" s="1162">
        <f t="shared" si="152"/>
        <v>0</v>
      </c>
      <c r="Q130" s="1162">
        <f t="shared" ref="Q130:V130" si="153">SUM(Q131:Q144)</f>
        <v>0</v>
      </c>
      <c r="R130" s="1162">
        <f t="shared" si="153"/>
        <v>0</v>
      </c>
      <c r="S130" s="1162">
        <f t="shared" si="153"/>
        <v>0</v>
      </c>
      <c r="T130" s="1162">
        <f t="shared" si="153"/>
        <v>0</v>
      </c>
      <c r="U130" s="1162">
        <f t="shared" si="153"/>
        <v>0</v>
      </c>
      <c r="V130" s="1162">
        <f t="shared" si="153"/>
        <v>0</v>
      </c>
      <c r="W130" s="1162">
        <f>SUM(W131:W144)</f>
        <v>0</v>
      </c>
    </row>
    <row r="131" spans="1:23" hidden="1">
      <c r="A131" s="409" t="str">
        <f>+Gastos!A150</f>
        <v>36A</v>
      </c>
      <c r="B131" s="1182" t="str">
        <f>+Gastos!C150</f>
        <v xml:space="preserve">       Agua Potable y Saneamiento Básico</v>
      </c>
      <c r="C131" s="1163"/>
      <c r="D131" s="1163"/>
      <c r="E131" s="1163"/>
      <c r="F131" s="1163"/>
      <c r="G131" s="1163">
        <f t="shared" ref="G131:P131" si="154">+F131*1.04</f>
        <v>0</v>
      </c>
      <c r="H131" s="1163">
        <v>0</v>
      </c>
      <c r="I131" s="1163">
        <f t="shared" si="154"/>
        <v>0</v>
      </c>
      <c r="J131" s="1163">
        <f t="shared" si="154"/>
        <v>0</v>
      </c>
      <c r="K131" s="1163">
        <f t="shared" si="154"/>
        <v>0</v>
      </c>
      <c r="L131" s="1163">
        <f t="shared" si="154"/>
        <v>0</v>
      </c>
      <c r="M131" s="1163">
        <f t="shared" si="154"/>
        <v>0</v>
      </c>
      <c r="N131" s="1163">
        <f t="shared" si="154"/>
        <v>0</v>
      </c>
      <c r="O131" s="1163">
        <f t="shared" si="154"/>
        <v>0</v>
      </c>
      <c r="P131" s="1163">
        <f t="shared" si="154"/>
        <v>0</v>
      </c>
      <c r="Q131" s="1163">
        <f t="shared" ref="Q131:U144" si="155">+P131*1.04</f>
        <v>0</v>
      </c>
      <c r="R131" s="1163">
        <f t="shared" si="155"/>
        <v>0</v>
      </c>
      <c r="S131" s="1163">
        <f t="shared" si="155"/>
        <v>0</v>
      </c>
      <c r="T131" s="1163">
        <f t="shared" si="155"/>
        <v>0</v>
      </c>
      <c r="U131" s="1163">
        <f t="shared" si="155"/>
        <v>0</v>
      </c>
      <c r="V131" s="1163">
        <f t="shared" ref="V131:W144" si="156">+U131*1.04</f>
        <v>0</v>
      </c>
      <c r="W131" s="1163">
        <f t="shared" si="156"/>
        <v>0</v>
      </c>
    </row>
    <row r="132" spans="1:23" hidden="1">
      <c r="A132" s="409" t="str">
        <f>+Gastos!A151</f>
        <v>37A</v>
      </c>
      <c r="B132" s="1182" t="str">
        <f>+Gastos!C151</f>
        <v xml:space="preserve">       Infraestructura Vial </v>
      </c>
      <c r="C132" s="1163"/>
      <c r="D132" s="1163"/>
      <c r="E132" s="1163"/>
      <c r="F132" s="1163"/>
      <c r="G132" s="1163">
        <f t="shared" ref="G132:P132" si="157">+F132*1.04</f>
        <v>0</v>
      </c>
      <c r="H132" s="1163">
        <v>0</v>
      </c>
      <c r="I132" s="1163">
        <f t="shared" si="157"/>
        <v>0</v>
      </c>
      <c r="J132" s="1163">
        <f t="shared" si="157"/>
        <v>0</v>
      </c>
      <c r="K132" s="1163">
        <f t="shared" si="157"/>
        <v>0</v>
      </c>
      <c r="L132" s="1163">
        <f t="shared" si="157"/>
        <v>0</v>
      </c>
      <c r="M132" s="1163">
        <f t="shared" si="157"/>
        <v>0</v>
      </c>
      <c r="N132" s="1163">
        <f t="shared" si="157"/>
        <v>0</v>
      </c>
      <c r="O132" s="1163">
        <f t="shared" si="157"/>
        <v>0</v>
      </c>
      <c r="P132" s="1163">
        <f t="shared" si="157"/>
        <v>0</v>
      </c>
      <c r="Q132" s="1163">
        <f t="shared" si="155"/>
        <v>0</v>
      </c>
      <c r="R132" s="1163">
        <f t="shared" si="155"/>
        <v>0</v>
      </c>
      <c r="S132" s="1163">
        <f t="shared" si="155"/>
        <v>0</v>
      </c>
      <c r="T132" s="1163">
        <f t="shared" si="155"/>
        <v>0</v>
      </c>
      <c r="U132" s="1163">
        <f t="shared" si="155"/>
        <v>0</v>
      </c>
      <c r="V132" s="1163">
        <f t="shared" si="156"/>
        <v>0</v>
      </c>
      <c r="W132" s="1163">
        <f t="shared" si="156"/>
        <v>0</v>
      </c>
    </row>
    <row r="133" spans="1:23" hidden="1">
      <c r="A133" s="409" t="str">
        <f>+Gastos!A152</f>
        <v>38A</v>
      </c>
      <c r="B133" s="1182" t="str">
        <f>+Gastos!C152</f>
        <v xml:space="preserve">       Vivienda</v>
      </c>
      <c r="C133" s="1163"/>
      <c r="D133" s="1163"/>
      <c r="E133" s="1163"/>
      <c r="F133" s="1163"/>
      <c r="G133" s="1163">
        <f t="shared" ref="G133:P133" si="158">+F133*1.04</f>
        <v>0</v>
      </c>
      <c r="H133" s="1163">
        <v>0</v>
      </c>
      <c r="I133" s="1163">
        <f t="shared" si="158"/>
        <v>0</v>
      </c>
      <c r="J133" s="1163">
        <f t="shared" si="158"/>
        <v>0</v>
      </c>
      <c r="K133" s="1163">
        <f t="shared" si="158"/>
        <v>0</v>
      </c>
      <c r="L133" s="1163">
        <f t="shared" si="158"/>
        <v>0</v>
      </c>
      <c r="M133" s="1163">
        <f t="shared" si="158"/>
        <v>0</v>
      </c>
      <c r="N133" s="1163">
        <f t="shared" si="158"/>
        <v>0</v>
      </c>
      <c r="O133" s="1163">
        <f t="shared" si="158"/>
        <v>0</v>
      </c>
      <c r="P133" s="1163">
        <f t="shared" si="158"/>
        <v>0</v>
      </c>
      <c r="Q133" s="1163">
        <f t="shared" si="155"/>
        <v>0</v>
      </c>
      <c r="R133" s="1163">
        <f t="shared" si="155"/>
        <v>0</v>
      </c>
      <c r="S133" s="1163">
        <f t="shared" si="155"/>
        <v>0</v>
      </c>
      <c r="T133" s="1163">
        <f t="shared" si="155"/>
        <v>0</v>
      </c>
      <c r="U133" s="1163">
        <f t="shared" si="155"/>
        <v>0</v>
      </c>
      <c r="V133" s="1163">
        <f t="shared" si="156"/>
        <v>0</v>
      </c>
      <c r="W133" s="1163">
        <f t="shared" si="156"/>
        <v>0</v>
      </c>
    </row>
    <row r="134" spans="1:23" hidden="1">
      <c r="A134" s="409" t="str">
        <f>+Gastos!A153</f>
        <v>39A</v>
      </c>
      <c r="B134" s="1182" t="str">
        <f>+Gastos!C153</f>
        <v xml:space="preserve">       Educación</v>
      </c>
      <c r="C134" s="1163"/>
      <c r="D134" s="1163"/>
      <c r="E134" s="1163"/>
      <c r="F134" s="1163"/>
      <c r="G134" s="1163">
        <f t="shared" ref="G134:P134" si="159">+F134*1.04</f>
        <v>0</v>
      </c>
      <c r="H134" s="1163">
        <v>0</v>
      </c>
      <c r="I134" s="1163">
        <f t="shared" si="159"/>
        <v>0</v>
      </c>
      <c r="J134" s="1163">
        <f t="shared" si="159"/>
        <v>0</v>
      </c>
      <c r="K134" s="1163">
        <f t="shared" si="159"/>
        <v>0</v>
      </c>
      <c r="L134" s="1163">
        <f t="shared" si="159"/>
        <v>0</v>
      </c>
      <c r="M134" s="1163">
        <f t="shared" si="159"/>
        <v>0</v>
      </c>
      <c r="N134" s="1163">
        <f t="shared" si="159"/>
        <v>0</v>
      </c>
      <c r="O134" s="1163">
        <f t="shared" si="159"/>
        <v>0</v>
      </c>
      <c r="P134" s="1163">
        <f t="shared" si="159"/>
        <v>0</v>
      </c>
      <c r="Q134" s="1163">
        <f t="shared" si="155"/>
        <v>0</v>
      </c>
      <c r="R134" s="1163">
        <f t="shared" si="155"/>
        <v>0</v>
      </c>
      <c r="S134" s="1163">
        <f t="shared" si="155"/>
        <v>0</v>
      </c>
      <c r="T134" s="1163">
        <f t="shared" si="155"/>
        <v>0</v>
      </c>
      <c r="U134" s="1163">
        <f t="shared" si="155"/>
        <v>0</v>
      </c>
      <c r="V134" s="1163">
        <f t="shared" si="156"/>
        <v>0</v>
      </c>
      <c r="W134" s="1163">
        <f t="shared" si="156"/>
        <v>0</v>
      </c>
    </row>
    <row r="135" spans="1:23" hidden="1">
      <c r="A135" s="409" t="str">
        <f>+Gastos!A154</f>
        <v>40A</v>
      </c>
      <c r="B135" s="1182" t="str">
        <f>+Gastos!C154</f>
        <v xml:space="preserve">       Educación Física, Deporte y Recreación</v>
      </c>
      <c r="C135" s="1163"/>
      <c r="D135" s="1163"/>
      <c r="E135" s="1163"/>
      <c r="F135" s="1163"/>
      <c r="G135" s="1163">
        <f t="shared" ref="G135:P135" si="160">+F135*1.04</f>
        <v>0</v>
      </c>
      <c r="H135" s="1163">
        <v>0</v>
      </c>
      <c r="I135" s="1163">
        <f t="shared" si="160"/>
        <v>0</v>
      </c>
      <c r="J135" s="1163">
        <f t="shared" si="160"/>
        <v>0</v>
      </c>
      <c r="K135" s="1163">
        <f t="shared" si="160"/>
        <v>0</v>
      </c>
      <c r="L135" s="1163">
        <f t="shared" si="160"/>
        <v>0</v>
      </c>
      <c r="M135" s="1163">
        <f t="shared" si="160"/>
        <v>0</v>
      </c>
      <c r="N135" s="1163">
        <f t="shared" si="160"/>
        <v>0</v>
      </c>
      <c r="O135" s="1163">
        <f t="shared" si="160"/>
        <v>0</v>
      </c>
      <c r="P135" s="1163">
        <f t="shared" si="160"/>
        <v>0</v>
      </c>
      <c r="Q135" s="1163">
        <f t="shared" si="155"/>
        <v>0</v>
      </c>
      <c r="R135" s="1163">
        <f t="shared" si="155"/>
        <v>0</v>
      </c>
      <c r="S135" s="1163">
        <f t="shared" si="155"/>
        <v>0</v>
      </c>
      <c r="T135" s="1163">
        <f t="shared" si="155"/>
        <v>0</v>
      </c>
      <c r="U135" s="1163">
        <f t="shared" si="155"/>
        <v>0</v>
      </c>
      <c r="V135" s="1163">
        <f t="shared" si="156"/>
        <v>0</v>
      </c>
      <c r="W135" s="1163">
        <f t="shared" si="156"/>
        <v>0</v>
      </c>
    </row>
    <row r="136" spans="1:23" hidden="1">
      <c r="A136" s="409" t="str">
        <f>+Gastos!A155</f>
        <v>41A</v>
      </c>
      <c r="B136" s="1182" t="str">
        <f>+Gastos!C155</f>
        <v xml:space="preserve">       Salud</v>
      </c>
      <c r="C136" s="1163"/>
      <c r="D136" s="1163"/>
      <c r="E136" s="1163"/>
      <c r="F136" s="1163"/>
      <c r="G136" s="1163">
        <f t="shared" ref="G136:P136" si="161">+F136*1.04</f>
        <v>0</v>
      </c>
      <c r="H136" s="1163">
        <v>0</v>
      </c>
      <c r="I136" s="1163">
        <f t="shared" si="161"/>
        <v>0</v>
      </c>
      <c r="J136" s="1163">
        <f t="shared" si="161"/>
        <v>0</v>
      </c>
      <c r="K136" s="1163">
        <f t="shared" si="161"/>
        <v>0</v>
      </c>
      <c r="L136" s="1163">
        <f t="shared" si="161"/>
        <v>0</v>
      </c>
      <c r="M136" s="1163">
        <f t="shared" si="161"/>
        <v>0</v>
      </c>
      <c r="N136" s="1163">
        <f t="shared" si="161"/>
        <v>0</v>
      </c>
      <c r="O136" s="1163">
        <f t="shared" si="161"/>
        <v>0</v>
      </c>
      <c r="P136" s="1163">
        <f t="shared" si="161"/>
        <v>0</v>
      </c>
      <c r="Q136" s="1163">
        <f t="shared" si="155"/>
        <v>0</v>
      </c>
      <c r="R136" s="1163">
        <f t="shared" si="155"/>
        <v>0</v>
      </c>
      <c r="S136" s="1163">
        <f t="shared" si="155"/>
        <v>0</v>
      </c>
      <c r="T136" s="1163">
        <f t="shared" si="155"/>
        <v>0</v>
      </c>
      <c r="U136" s="1163">
        <f t="shared" si="155"/>
        <v>0</v>
      </c>
      <c r="V136" s="1163">
        <f t="shared" si="156"/>
        <v>0</v>
      </c>
      <c r="W136" s="1163">
        <f t="shared" si="156"/>
        <v>0</v>
      </c>
    </row>
    <row r="137" spans="1:23" hidden="1">
      <c r="A137" s="397" t="str">
        <f>+Gastos!A156</f>
        <v>42A</v>
      </c>
      <c r="B137" s="1182" t="str">
        <f>+Gastos!C156</f>
        <v xml:space="preserve">       Cultura</v>
      </c>
      <c r="C137" s="1163"/>
      <c r="D137" s="1163"/>
      <c r="E137" s="1163"/>
      <c r="F137" s="1163"/>
      <c r="G137" s="1163">
        <f t="shared" ref="G137:P137" si="162">+F137*1.04</f>
        <v>0</v>
      </c>
      <c r="H137" s="1163">
        <v>0</v>
      </c>
      <c r="I137" s="1163">
        <f t="shared" si="162"/>
        <v>0</v>
      </c>
      <c r="J137" s="1163">
        <f t="shared" si="162"/>
        <v>0</v>
      </c>
      <c r="K137" s="1163">
        <f t="shared" si="162"/>
        <v>0</v>
      </c>
      <c r="L137" s="1163">
        <f t="shared" si="162"/>
        <v>0</v>
      </c>
      <c r="M137" s="1163">
        <f t="shared" si="162"/>
        <v>0</v>
      </c>
      <c r="N137" s="1163">
        <f t="shared" si="162"/>
        <v>0</v>
      </c>
      <c r="O137" s="1163">
        <f t="shared" si="162"/>
        <v>0</v>
      </c>
      <c r="P137" s="1163">
        <f t="shared" si="162"/>
        <v>0</v>
      </c>
      <c r="Q137" s="1163">
        <f t="shared" si="155"/>
        <v>0</v>
      </c>
      <c r="R137" s="1163">
        <f t="shared" si="155"/>
        <v>0</v>
      </c>
      <c r="S137" s="1163">
        <f t="shared" si="155"/>
        <v>0</v>
      </c>
      <c r="T137" s="1163">
        <f t="shared" si="155"/>
        <v>0</v>
      </c>
      <c r="U137" s="1163">
        <f t="shared" si="155"/>
        <v>0</v>
      </c>
      <c r="V137" s="1163">
        <f t="shared" si="156"/>
        <v>0</v>
      </c>
      <c r="W137" s="1163">
        <f t="shared" si="156"/>
        <v>0</v>
      </c>
    </row>
    <row r="138" spans="1:23" hidden="1">
      <c r="A138" s="409" t="str">
        <f>+Gastos!A157</f>
        <v>43A</v>
      </c>
      <c r="B138" s="1182" t="str">
        <f>+Gastos!C157</f>
        <v xml:space="preserve">       Sector Energético</v>
      </c>
      <c r="C138" s="1163"/>
      <c r="D138" s="1163"/>
      <c r="E138" s="1163"/>
      <c r="F138" s="1163"/>
      <c r="G138" s="1163">
        <f t="shared" ref="G138:P138" si="163">+F138*1.04</f>
        <v>0</v>
      </c>
      <c r="H138" s="1163">
        <v>0</v>
      </c>
      <c r="I138" s="1163">
        <f t="shared" si="163"/>
        <v>0</v>
      </c>
      <c r="J138" s="1163">
        <f t="shared" si="163"/>
        <v>0</v>
      </c>
      <c r="K138" s="1163">
        <f t="shared" si="163"/>
        <v>0</v>
      </c>
      <c r="L138" s="1163">
        <f t="shared" si="163"/>
        <v>0</v>
      </c>
      <c r="M138" s="1163">
        <f t="shared" si="163"/>
        <v>0</v>
      </c>
      <c r="N138" s="1163">
        <f t="shared" si="163"/>
        <v>0</v>
      </c>
      <c r="O138" s="1163">
        <f t="shared" si="163"/>
        <v>0</v>
      </c>
      <c r="P138" s="1163">
        <f t="shared" si="163"/>
        <v>0</v>
      </c>
      <c r="Q138" s="1163">
        <f t="shared" si="155"/>
        <v>0</v>
      </c>
      <c r="R138" s="1163">
        <f t="shared" si="155"/>
        <v>0</v>
      </c>
      <c r="S138" s="1163">
        <f t="shared" si="155"/>
        <v>0</v>
      </c>
      <c r="T138" s="1163">
        <f t="shared" si="155"/>
        <v>0</v>
      </c>
      <c r="U138" s="1163">
        <f t="shared" si="155"/>
        <v>0</v>
      </c>
      <c r="V138" s="1163">
        <f t="shared" si="156"/>
        <v>0</v>
      </c>
      <c r="W138" s="1163">
        <f t="shared" si="156"/>
        <v>0</v>
      </c>
    </row>
    <row r="139" spans="1:23" hidden="1">
      <c r="A139" s="409" t="str">
        <f>+Gastos!A158</f>
        <v>44A</v>
      </c>
      <c r="B139" s="1182" t="str">
        <f>+Gastos!C158</f>
        <v xml:space="preserve">       Desarrollo Agropecuario y Minero</v>
      </c>
      <c r="C139" s="1163"/>
      <c r="D139" s="1163"/>
      <c r="E139" s="1163"/>
      <c r="F139" s="1163"/>
      <c r="G139" s="1163">
        <f t="shared" ref="G139:P139" si="164">+F139*1.04</f>
        <v>0</v>
      </c>
      <c r="H139" s="1163">
        <v>0</v>
      </c>
      <c r="I139" s="1163">
        <f t="shared" si="164"/>
        <v>0</v>
      </c>
      <c r="J139" s="1163">
        <f t="shared" si="164"/>
        <v>0</v>
      </c>
      <c r="K139" s="1163">
        <f t="shared" si="164"/>
        <v>0</v>
      </c>
      <c r="L139" s="1163">
        <f t="shared" si="164"/>
        <v>0</v>
      </c>
      <c r="M139" s="1163">
        <f t="shared" si="164"/>
        <v>0</v>
      </c>
      <c r="N139" s="1163">
        <f t="shared" si="164"/>
        <v>0</v>
      </c>
      <c r="O139" s="1163">
        <f t="shared" si="164"/>
        <v>0</v>
      </c>
      <c r="P139" s="1163">
        <f t="shared" si="164"/>
        <v>0</v>
      </c>
      <c r="Q139" s="1163">
        <f t="shared" si="155"/>
        <v>0</v>
      </c>
      <c r="R139" s="1163">
        <f t="shared" si="155"/>
        <v>0</v>
      </c>
      <c r="S139" s="1163">
        <f t="shared" si="155"/>
        <v>0</v>
      </c>
      <c r="T139" s="1163">
        <f t="shared" si="155"/>
        <v>0</v>
      </c>
      <c r="U139" s="1163">
        <f t="shared" si="155"/>
        <v>0</v>
      </c>
      <c r="V139" s="1163">
        <f t="shared" si="156"/>
        <v>0</v>
      </c>
      <c r="W139" s="1163">
        <f t="shared" si="156"/>
        <v>0</v>
      </c>
    </row>
    <row r="140" spans="1:23" hidden="1">
      <c r="A140" s="409" t="str">
        <f>+Gastos!A159</f>
        <v>45A</v>
      </c>
      <c r="B140" s="1182" t="str">
        <f>+Gastos!C159</f>
        <v xml:space="preserve">       Infraestructura Urbana</v>
      </c>
      <c r="C140" s="1163"/>
      <c r="D140" s="1163"/>
      <c r="E140" s="1163"/>
      <c r="F140" s="1163"/>
      <c r="G140" s="1163">
        <f t="shared" ref="G140:P140" si="165">+F140*1.04</f>
        <v>0</v>
      </c>
      <c r="H140" s="1163">
        <v>0</v>
      </c>
      <c r="I140" s="1163">
        <f t="shared" si="165"/>
        <v>0</v>
      </c>
      <c r="J140" s="1163">
        <f t="shared" si="165"/>
        <v>0</v>
      </c>
      <c r="K140" s="1163">
        <f t="shared" si="165"/>
        <v>0</v>
      </c>
      <c r="L140" s="1163">
        <f t="shared" si="165"/>
        <v>0</v>
      </c>
      <c r="M140" s="1163">
        <f t="shared" si="165"/>
        <v>0</v>
      </c>
      <c r="N140" s="1163">
        <f t="shared" si="165"/>
        <v>0</v>
      </c>
      <c r="O140" s="1163">
        <f t="shared" si="165"/>
        <v>0</v>
      </c>
      <c r="P140" s="1163">
        <f t="shared" si="165"/>
        <v>0</v>
      </c>
      <c r="Q140" s="1163">
        <f t="shared" si="155"/>
        <v>0</v>
      </c>
      <c r="R140" s="1163">
        <f t="shared" si="155"/>
        <v>0</v>
      </c>
      <c r="S140" s="1163">
        <f t="shared" si="155"/>
        <v>0</v>
      </c>
      <c r="T140" s="1163">
        <f t="shared" si="155"/>
        <v>0</v>
      </c>
      <c r="U140" s="1163">
        <f t="shared" si="155"/>
        <v>0</v>
      </c>
      <c r="V140" s="1163">
        <f t="shared" si="156"/>
        <v>0</v>
      </c>
      <c r="W140" s="1163">
        <f t="shared" si="156"/>
        <v>0</v>
      </c>
    </row>
    <row r="141" spans="1:23" hidden="1">
      <c r="A141" s="409" t="str">
        <f>+Gastos!A160</f>
        <v>46A</v>
      </c>
      <c r="B141" s="1182" t="str">
        <f>+Gastos!C160</f>
        <v xml:space="preserve">       Desarrollo de la comunidad</v>
      </c>
      <c r="C141" s="1163"/>
      <c r="D141" s="1163"/>
      <c r="E141" s="1163"/>
      <c r="F141" s="1163"/>
      <c r="G141" s="1163">
        <f t="shared" ref="G141:P141" si="166">+F141*1.04</f>
        <v>0</v>
      </c>
      <c r="H141" s="1163">
        <v>0</v>
      </c>
      <c r="I141" s="1163">
        <f t="shared" si="166"/>
        <v>0</v>
      </c>
      <c r="J141" s="1163">
        <f t="shared" si="166"/>
        <v>0</v>
      </c>
      <c r="K141" s="1163">
        <f t="shared" si="166"/>
        <v>0</v>
      </c>
      <c r="L141" s="1163">
        <f t="shared" si="166"/>
        <v>0</v>
      </c>
      <c r="M141" s="1163">
        <f t="shared" si="166"/>
        <v>0</v>
      </c>
      <c r="N141" s="1163">
        <f t="shared" si="166"/>
        <v>0</v>
      </c>
      <c r="O141" s="1163">
        <f t="shared" si="166"/>
        <v>0</v>
      </c>
      <c r="P141" s="1163">
        <f t="shared" si="166"/>
        <v>0</v>
      </c>
      <c r="Q141" s="1163">
        <f t="shared" si="155"/>
        <v>0</v>
      </c>
      <c r="R141" s="1163">
        <f t="shared" si="155"/>
        <v>0</v>
      </c>
      <c r="S141" s="1163">
        <f t="shared" si="155"/>
        <v>0</v>
      </c>
      <c r="T141" s="1163">
        <f t="shared" si="155"/>
        <v>0</v>
      </c>
      <c r="U141" s="1163">
        <f t="shared" si="155"/>
        <v>0</v>
      </c>
      <c r="V141" s="1163">
        <f t="shared" si="156"/>
        <v>0</v>
      </c>
      <c r="W141" s="1163">
        <f t="shared" si="156"/>
        <v>0</v>
      </c>
    </row>
    <row r="142" spans="1:23" hidden="1">
      <c r="A142" s="409" t="str">
        <f>+Gastos!A161</f>
        <v>47A</v>
      </c>
      <c r="B142" s="1182" t="str">
        <f>+Gastos!C161</f>
        <v xml:space="preserve">       Justicia, defensa y seguridad</v>
      </c>
      <c r="C142" s="1163"/>
      <c r="D142" s="1163"/>
      <c r="E142" s="1163"/>
      <c r="F142" s="1163"/>
      <c r="G142" s="1163">
        <f t="shared" ref="G142:P142" si="167">+F142*1.04</f>
        <v>0</v>
      </c>
      <c r="H142" s="1163">
        <v>0</v>
      </c>
      <c r="I142" s="1163">
        <f t="shared" si="167"/>
        <v>0</v>
      </c>
      <c r="J142" s="1163">
        <f t="shared" si="167"/>
        <v>0</v>
      </c>
      <c r="K142" s="1163">
        <f t="shared" si="167"/>
        <v>0</v>
      </c>
      <c r="L142" s="1163">
        <f t="shared" si="167"/>
        <v>0</v>
      </c>
      <c r="M142" s="1163">
        <f t="shared" si="167"/>
        <v>0</v>
      </c>
      <c r="N142" s="1163">
        <f t="shared" si="167"/>
        <v>0</v>
      </c>
      <c r="O142" s="1163">
        <f t="shared" si="167"/>
        <v>0</v>
      </c>
      <c r="P142" s="1163">
        <f t="shared" si="167"/>
        <v>0</v>
      </c>
      <c r="Q142" s="1163">
        <f t="shared" si="155"/>
        <v>0</v>
      </c>
      <c r="R142" s="1163">
        <f t="shared" si="155"/>
        <v>0</v>
      </c>
      <c r="S142" s="1163">
        <f t="shared" si="155"/>
        <v>0</v>
      </c>
      <c r="T142" s="1163">
        <f t="shared" si="155"/>
        <v>0</v>
      </c>
      <c r="U142" s="1163">
        <f t="shared" si="155"/>
        <v>0</v>
      </c>
      <c r="V142" s="1163">
        <f t="shared" si="156"/>
        <v>0</v>
      </c>
      <c r="W142" s="1163">
        <f t="shared" si="156"/>
        <v>0</v>
      </c>
    </row>
    <row r="143" spans="1:23" hidden="1">
      <c r="A143" s="409" t="str">
        <f>+Gastos!A162</f>
        <v>48A</v>
      </c>
      <c r="B143" s="1182" t="str">
        <f>+Gastos!C162</f>
        <v xml:space="preserve">       Desarrollo Institucional</v>
      </c>
      <c r="C143" s="1163"/>
      <c r="D143" s="1163"/>
      <c r="E143" s="1163"/>
      <c r="F143" s="1163"/>
      <c r="G143" s="1163">
        <f t="shared" ref="G143:P143" si="168">+F143*1.04</f>
        <v>0</v>
      </c>
      <c r="H143" s="1163">
        <v>0</v>
      </c>
      <c r="I143" s="1163">
        <f t="shared" si="168"/>
        <v>0</v>
      </c>
      <c r="J143" s="1163">
        <f t="shared" si="168"/>
        <v>0</v>
      </c>
      <c r="K143" s="1163">
        <f t="shared" si="168"/>
        <v>0</v>
      </c>
      <c r="L143" s="1163">
        <f t="shared" si="168"/>
        <v>0</v>
      </c>
      <c r="M143" s="1163">
        <f t="shared" si="168"/>
        <v>0</v>
      </c>
      <c r="N143" s="1163">
        <f t="shared" si="168"/>
        <v>0</v>
      </c>
      <c r="O143" s="1163">
        <f t="shared" si="168"/>
        <v>0</v>
      </c>
      <c r="P143" s="1163">
        <f t="shared" si="168"/>
        <v>0</v>
      </c>
      <c r="Q143" s="1163">
        <f t="shared" si="155"/>
        <v>0</v>
      </c>
      <c r="R143" s="1163">
        <f t="shared" si="155"/>
        <v>0</v>
      </c>
      <c r="S143" s="1163">
        <f t="shared" si="155"/>
        <v>0</v>
      </c>
      <c r="T143" s="1163">
        <f t="shared" si="155"/>
        <v>0</v>
      </c>
      <c r="U143" s="1163">
        <f t="shared" si="155"/>
        <v>0</v>
      </c>
      <c r="V143" s="1163">
        <f t="shared" si="156"/>
        <v>0</v>
      </c>
      <c r="W143" s="1163">
        <f t="shared" si="156"/>
        <v>0</v>
      </c>
    </row>
    <row r="144" spans="1:23" hidden="1">
      <c r="A144" s="409" t="str">
        <f>+Gastos!A163</f>
        <v>49A</v>
      </c>
      <c r="B144" s="1182" t="str">
        <f>+Gastos!C163</f>
        <v xml:space="preserve">       Otros</v>
      </c>
      <c r="C144" s="1163"/>
      <c r="D144" s="1163"/>
      <c r="E144" s="1163"/>
      <c r="F144" s="1163"/>
      <c r="G144" s="1163">
        <f t="shared" ref="G144:P144" si="169">+F144*1.04</f>
        <v>0</v>
      </c>
      <c r="H144" s="1163">
        <v>0</v>
      </c>
      <c r="I144" s="1163">
        <f t="shared" si="169"/>
        <v>0</v>
      </c>
      <c r="J144" s="1163">
        <f t="shared" si="169"/>
        <v>0</v>
      </c>
      <c r="K144" s="1163">
        <f t="shared" si="169"/>
        <v>0</v>
      </c>
      <c r="L144" s="1163">
        <f t="shared" si="169"/>
        <v>0</v>
      </c>
      <c r="M144" s="1163">
        <f t="shared" si="169"/>
        <v>0</v>
      </c>
      <c r="N144" s="1163">
        <f t="shared" si="169"/>
        <v>0</v>
      </c>
      <c r="O144" s="1163">
        <f t="shared" si="169"/>
        <v>0</v>
      </c>
      <c r="P144" s="1163">
        <f t="shared" si="169"/>
        <v>0</v>
      </c>
      <c r="Q144" s="1163">
        <f t="shared" si="155"/>
        <v>0</v>
      </c>
      <c r="R144" s="1163">
        <f t="shared" si="155"/>
        <v>0</v>
      </c>
      <c r="S144" s="1163">
        <f t="shared" si="155"/>
        <v>0</v>
      </c>
      <c r="T144" s="1163">
        <f t="shared" si="155"/>
        <v>0</v>
      </c>
      <c r="U144" s="1163">
        <f t="shared" si="155"/>
        <v>0</v>
      </c>
      <c r="V144" s="1163">
        <f t="shared" si="156"/>
        <v>0</v>
      </c>
      <c r="W144" s="1163">
        <f t="shared" si="156"/>
        <v>0</v>
      </c>
    </row>
    <row r="145" spans="1:23" ht="36.75" customHeight="1">
      <c r="A145" s="409" t="str">
        <f>+Gastos!A164</f>
        <v>83A</v>
      </c>
      <c r="B145" s="1180" t="str">
        <f>+Gastos!C164</f>
        <v xml:space="preserve">  CON RECURSOS PROPIOS Y OTROS</v>
      </c>
      <c r="C145" s="1162">
        <f>+C146+C160+C166</f>
        <v>0</v>
      </c>
      <c r="D145" s="1162">
        <f>+D146+D160+D166</f>
        <v>0</v>
      </c>
      <c r="E145" s="1162">
        <f>+E146+E160+E166</f>
        <v>0</v>
      </c>
      <c r="F145" s="1162">
        <f>+F146+F160+F166</f>
        <v>171620</v>
      </c>
      <c r="G145" s="1162">
        <f>+G146+G160+G166</f>
        <v>178484.80000000002</v>
      </c>
      <c r="H145" s="1162">
        <v>192179</v>
      </c>
      <c r="I145" s="1162">
        <f>+I146+I160+I166</f>
        <v>123884</v>
      </c>
      <c r="J145" s="1162">
        <f t="shared" ref="J145:P145" si="170">+J146+J160+J166</f>
        <v>154001.91200000001</v>
      </c>
      <c r="K145" s="1162">
        <f t="shared" si="170"/>
        <v>160161.98848000003</v>
      </c>
      <c r="L145" s="1162">
        <f t="shared" si="170"/>
        <v>166568.46801920005</v>
      </c>
      <c r="M145" s="1162">
        <f>+M146+M160+M166</f>
        <v>175631.20673996804</v>
      </c>
      <c r="N145" s="1162">
        <f>+N146+N160+N166</f>
        <v>182656.45500956674</v>
      </c>
      <c r="O145" s="1162">
        <f t="shared" si="170"/>
        <v>189962.71320994943</v>
      </c>
      <c r="P145" s="1162">
        <f t="shared" si="170"/>
        <v>197561.22173834741</v>
      </c>
      <c r="Q145" s="1162">
        <f t="shared" ref="Q145:V145" si="171">+Q146+Q160+Q166</f>
        <v>205463.67060788133</v>
      </c>
      <c r="R145" s="1162">
        <f t="shared" si="171"/>
        <v>213682.2174321966</v>
      </c>
      <c r="S145" s="1162">
        <f t="shared" si="171"/>
        <v>222229.50612948451</v>
      </c>
      <c r="T145" s="1162">
        <f t="shared" si="171"/>
        <v>231118.68637466381</v>
      </c>
      <c r="U145" s="1162">
        <f t="shared" si="171"/>
        <v>240363.43382965034</v>
      </c>
      <c r="V145" s="1162">
        <f t="shared" si="171"/>
        <v>249977.97118283642</v>
      </c>
      <c r="W145" s="1162">
        <f>+W146+W160+W166</f>
        <v>259977.09003014991</v>
      </c>
    </row>
    <row r="146" spans="1:23" ht="21" hidden="1" customHeight="1">
      <c r="A146" s="409" t="str">
        <f>+Gastos!A165</f>
        <v>84A</v>
      </c>
      <c r="B146" s="1180" t="str">
        <f>+Gastos!C165</f>
        <v xml:space="preserve">    Pagos de personal y aportes a la seguridad  social</v>
      </c>
      <c r="C146" s="1162">
        <f>SUM(C147:C159)</f>
        <v>0</v>
      </c>
      <c r="D146" s="1162">
        <f>SUM(D147:D159)</f>
        <v>0</v>
      </c>
      <c r="E146" s="1162">
        <f>SUM(E147:E159)</f>
        <v>0</v>
      </c>
      <c r="F146" s="1162">
        <f>SUM(F147:F159)</f>
        <v>0</v>
      </c>
      <c r="G146" s="1162">
        <f>SUM(G147:G159)</f>
        <v>0</v>
      </c>
      <c r="H146" s="1162">
        <v>0</v>
      </c>
      <c r="I146" s="1162">
        <f>SUM(I147:I159)</f>
        <v>0</v>
      </c>
      <c r="J146" s="1162">
        <f t="shared" ref="J146:P146" si="172">SUM(J147:J159)</f>
        <v>0</v>
      </c>
      <c r="K146" s="1162">
        <f t="shared" si="172"/>
        <v>0</v>
      </c>
      <c r="L146" s="1162">
        <f t="shared" si="172"/>
        <v>0</v>
      </c>
      <c r="M146" s="1162">
        <f t="shared" si="172"/>
        <v>0</v>
      </c>
      <c r="N146" s="1162">
        <f t="shared" si="172"/>
        <v>0</v>
      </c>
      <c r="O146" s="1162">
        <f t="shared" si="172"/>
        <v>0</v>
      </c>
      <c r="P146" s="1162">
        <f t="shared" si="172"/>
        <v>0</v>
      </c>
      <c r="Q146" s="1162">
        <f t="shared" ref="Q146:V146" si="173">SUM(Q147:Q159)</f>
        <v>0</v>
      </c>
      <c r="R146" s="1162">
        <f t="shared" si="173"/>
        <v>0</v>
      </c>
      <c r="S146" s="1162">
        <f t="shared" si="173"/>
        <v>0</v>
      </c>
      <c r="T146" s="1162">
        <f t="shared" si="173"/>
        <v>0</v>
      </c>
      <c r="U146" s="1162">
        <f t="shared" si="173"/>
        <v>0</v>
      </c>
      <c r="V146" s="1162">
        <f t="shared" si="173"/>
        <v>0</v>
      </c>
      <c r="W146" s="1162">
        <f>SUM(W147:W159)</f>
        <v>0</v>
      </c>
    </row>
    <row r="147" spans="1:23" hidden="1">
      <c r="A147" s="409" t="str">
        <f>+Gastos!A166</f>
        <v>85A</v>
      </c>
      <c r="B147" s="1182" t="str">
        <f>+Gastos!C166</f>
        <v xml:space="preserve">       Agua Potable y Saneamiento Básico</v>
      </c>
      <c r="C147" s="1163"/>
      <c r="D147" s="1163"/>
      <c r="E147" s="1163"/>
      <c r="F147" s="1163">
        <v>0</v>
      </c>
      <c r="G147" s="1163">
        <f t="shared" ref="G147:G159" si="174">+F147*1.04</f>
        <v>0</v>
      </c>
      <c r="H147" s="1163">
        <v>0</v>
      </c>
      <c r="I147" s="1163">
        <f t="shared" ref="I147:I159" si="175">+H147*1.04</f>
        <v>0</v>
      </c>
      <c r="J147" s="1163">
        <f t="shared" ref="J147:P147" si="176">+I147*1.04</f>
        <v>0</v>
      </c>
      <c r="K147" s="1163">
        <f t="shared" si="176"/>
        <v>0</v>
      </c>
      <c r="L147" s="1163">
        <f t="shared" si="176"/>
        <v>0</v>
      </c>
      <c r="M147" s="1163">
        <f t="shared" si="176"/>
        <v>0</v>
      </c>
      <c r="N147" s="1163">
        <f t="shared" si="176"/>
        <v>0</v>
      </c>
      <c r="O147" s="1163">
        <f t="shared" si="176"/>
        <v>0</v>
      </c>
      <c r="P147" s="1163">
        <f t="shared" si="176"/>
        <v>0</v>
      </c>
      <c r="Q147" s="1163">
        <f t="shared" ref="Q147:U159" si="177">+P147*1.04</f>
        <v>0</v>
      </c>
      <c r="R147" s="1163">
        <f t="shared" si="177"/>
        <v>0</v>
      </c>
      <c r="S147" s="1163">
        <f t="shared" si="177"/>
        <v>0</v>
      </c>
      <c r="T147" s="1163">
        <f t="shared" si="177"/>
        <v>0</v>
      </c>
      <c r="U147" s="1163">
        <f t="shared" si="177"/>
        <v>0</v>
      </c>
      <c r="V147" s="1163">
        <f t="shared" ref="V147:W159" si="178">+U147*1.04</f>
        <v>0</v>
      </c>
      <c r="W147" s="1163">
        <f t="shared" si="178"/>
        <v>0</v>
      </c>
    </row>
    <row r="148" spans="1:23" hidden="1">
      <c r="A148" s="409" t="str">
        <f>+Gastos!A167</f>
        <v>86A</v>
      </c>
      <c r="B148" s="1182" t="str">
        <f>+Gastos!C167</f>
        <v xml:space="preserve">       Infraestructura Vial </v>
      </c>
      <c r="C148" s="1163"/>
      <c r="D148" s="1163"/>
      <c r="E148" s="1163"/>
      <c r="F148" s="1163">
        <v>0</v>
      </c>
      <c r="G148" s="1163">
        <f t="shared" si="174"/>
        <v>0</v>
      </c>
      <c r="H148" s="1163">
        <v>0</v>
      </c>
      <c r="I148" s="1163">
        <f t="shared" si="175"/>
        <v>0</v>
      </c>
      <c r="J148" s="1163">
        <f t="shared" ref="J148:P148" si="179">+I148*1.04</f>
        <v>0</v>
      </c>
      <c r="K148" s="1163">
        <f t="shared" si="179"/>
        <v>0</v>
      </c>
      <c r="L148" s="1163">
        <f t="shared" si="179"/>
        <v>0</v>
      </c>
      <c r="M148" s="1163">
        <f t="shared" si="179"/>
        <v>0</v>
      </c>
      <c r="N148" s="1163">
        <f t="shared" si="179"/>
        <v>0</v>
      </c>
      <c r="O148" s="1163">
        <f t="shared" si="179"/>
        <v>0</v>
      </c>
      <c r="P148" s="1163">
        <f t="shared" si="179"/>
        <v>0</v>
      </c>
      <c r="Q148" s="1163">
        <f t="shared" si="177"/>
        <v>0</v>
      </c>
      <c r="R148" s="1163">
        <f t="shared" si="177"/>
        <v>0</v>
      </c>
      <c r="S148" s="1163">
        <f t="shared" si="177"/>
        <v>0</v>
      </c>
      <c r="T148" s="1163">
        <f t="shared" si="177"/>
        <v>0</v>
      </c>
      <c r="U148" s="1163">
        <f t="shared" si="177"/>
        <v>0</v>
      </c>
      <c r="V148" s="1163">
        <f t="shared" si="178"/>
        <v>0</v>
      </c>
      <c r="W148" s="1163">
        <f t="shared" si="178"/>
        <v>0</v>
      </c>
    </row>
    <row r="149" spans="1:23" hidden="1">
      <c r="A149" s="409" t="str">
        <f>+Gastos!A168</f>
        <v>87A</v>
      </c>
      <c r="B149" s="1182" t="str">
        <f>+Gastos!C168</f>
        <v xml:space="preserve">       Vivienda</v>
      </c>
      <c r="C149" s="1163"/>
      <c r="D149" s="1163"/>
      <c r="E149" s="1163"/>
      <c r="F149" s="1163">
        <v>0</v>
      </c>
      <c r="G149" s="1163">
        <f t="shared" si="174"/>
        <v>0</v>
      </c>
      <c r="H149" s="1163">
        <v>0</v>
      </c>
      <c r="I149" s="1163">
        <f t="shared" si="175"/>
        <v>0</v>
      </c>
      <c r="J149" s="1163">
        <f t="shared" ref="J149:P149" si="180">+I149*1.04</f>
        <v>0</v>
      </c>
      <c r="K149" s="1163">
        <f t="shared" si="180"/>
        <v>0</v>
      </c>
      <c r="L149" s="1163">
        <f t="shared" si="180"/>
        <v>0</v>
      </c>
      <c r="M149" s="1163">
        <f t="shared" si="180"/>
        <v>0</v>
      </c>
      <c r="N149" s="1163">
        <f t="shared" si="180"/>
        <v>0</v>
      </c>
      <c r="O149" s="1163">
        <f t="shared" si="180"/>
        <v>0</v>
      </c>
      <c r="P149" s="1163">
        <f t="shared" si="180"/>
        <v>0</v>
      </c>
      <c r="Q149" s="1163">
        <f t="shared" si="177"/>
        <v>0</v>
      </c>
      <c r="R149" s="1163">
        <f t="shared" si="177"/>
        <v>0</v>
      </c>
      <c r="S149" s="1163">
        <f t="shared" si="177"/>
        <v>0</v>
      </c>
      <c r="T149" s="1163">
        <f t="shared" si="177"/>
        <v>0</v>
      </c>
      <c r="U149" s="1163">
        <f t="shared" si="177"/>
        <v>0</v>
      </c>
      <c r="V149" s="1163">
        <f t="shared" si="178"/>
        <v>0</v>
      </c>
      <c r="W149" s="1163">
        <f t="shared" si="178"/>
        <v>0</v>
      </c>
    </row>
    <row r="150" spans="1:23" hidden="1">
      <c r="A150" s="409" t="str">
        <f>+Gastos!A169</f>
        <v>88A</v>
      </c>
      <c r="B150" s="1182" t="str">
        <f>+Gastos!C169</f>
        <v xml:space="preserve">       Educación</v>
      </c>
      <c r="C150" s="1163"/>
      <c r="D150" s="1163"/>
      <c r="E150" s="1163"/>
      <c r="F150" s="1163">
        <v>0</v>
      </c>
      <c r="G150" s="1163">
        <f t="shared" si="174"/>
        <v>0</v>
      </c>
      <c r="H150" s="1163">
        <v>0</v>
      </c>
      <c r="I150" s="1163">
        <f t="shared" si="175"/>
        <v>0</v>
      </c>
      <c r="J150" s="1163">
        <f t="shared" ref="J150:P150" si="181">+I150*1.04</f>
        <v>0</v>
      </c>
      <c r="K150" s="1163">
        <f t="shared" si="181"/>
        <v>0</v>
      </c>
      <c r="L150" s="1163">
        <f t="shared" si="181"/>
        <v>0</v>
      </c>
      <c r="M150" s="1163">
        <f t="shared" si="181"/>
        <v>0</v>
      </c>
      <c r="N150" s="1163">
        <f t="shared" si="181"/>
        <v>0</v>
      </c>
      <c r="O150" s="1163">
        <f t="shared" si="181"/>
        <v>0</v>
      </c>
      <c r="P150" s="1163">
        <f t="shared" si="181"/>
        <v>0</v>
      </c>
      <c r="Q150" s="1163">
        <f t="shared" si="177"/>
        <v>0</v>
      </c>
      <c r="R150" s="1163">
        <f t="shared" si="177"/>
        <v>0</v>
      </c>
      <c r="S150" s="1163">
        <f t="shared" si="177"/>
        <v>0</v>
      </c>
      <c r="T150" s="1163">
        <f t="shared" si="177"/>
        <v>0</v>
      </c>
      <c r="U150" s="1163">
        <f t="shared" si="177"/>
        <v>0</v>
      </c>
      <c r="V150" s="1163">
        <f t="shared" si="178"/>
        <v>0</v>
      </c>
      <c r="W150" s="1163">
        <f t="shared" si="178"/>
        <v>0</v>
      </c>
    </row>
    <row r="151" spans="1:23" hidden="1">
      <c r="A151" s="397" t="str">
        <f>+Gastos!A170</f>
        <v>89A</v>
      </c>
      <c r="B151" s="1182" t="str">
        <f>+Gastos!C170</f>
        <v xml:space="preserve">       Educación Física, Deporte y Recreación</v>
      </c>
      <c r="C151" s="1163"/>
      <c r="D151" s="1163"/>
      <c r="E151" s="1163"/>
      <c r="F151" s="1163">
        <v>0</v>
      </c>
      <c r="G151" s="1163">
        <f t="shared" si="174"/>
        <v>0</v>
      </c>
      <c r="H151" s="1163">
        <v>0</v>
      </c>
      <c r="I151" s="1163">
        <f t="shared" si="175"/>
        <v>0</v>
      </c>
      <c r="J151" s="1163">
        <f t="shared" ref="J151:P151" si="182">+I151*1.04</f>
        <v>0</v>
      </c>
      <c r="K151" s="1163">
        <f t="shared" si="182"/>
        <v>0</v>
      </c>
      <c r="L151" s="1163">
        <f t="shared" si="182"/>
        <v>0</v>
      </c>
      <c r="M151" s="1163">
        <f t="shared" si="182"/>
        <v>0</v>
      </c>
      <c r="N151" s="1163">
        <f t="shared" si="182"/>
        <v>0</v>
      </c>
      <c r="O151" s="1163">
        <f t="shared" si="182"/>
        <v>0</v>
      </c>
      <c r="P151" s="1163">
        <f t="shared" si="182"/>
        <v>0</v>
      </c>
      <c r="Q151" s="1163">
        <f t="shared" si="177"/>
        <v>0</v>
      </c>
      <c r="R151" s="1163">
        <f t="shared" si="177"/>
        <v>0</v>
      </c>
      <c r="S151" s="1163">
        <f t="shared" si="177"/>
        <v>0</v>
      </c>
      <c r="T151" s="1163">
        <f t="shared" si="177"/>
        <v>0</v>
      </c>
      <c r="U151" s="1163">
        <f t="shared" si="177"/>
        <v>0</v>
      </c>
      <c r="V151" s="1163">
        <f t="shared" si="178"/>
        <v>0</v>
      </c>
      <c r="W151" s="1163">
        <f t="shared" si="178"/>
        <v>0</v>
      </c>
    </row>
    <row r="152" spans="1:23" hidden="1">
      <c r="A152" s="409" t="str">
        <f>+Gastos!A171</f>
        <v>90A</v>
      </c>
      <c r="B152" s="1182" t="str">
        <f>+Gastos!C171</f>
        <v xml:space="preserve">       Salud</v>
      </c>
      <c r="C152" s="1163"/>
      <c r="D152" s="1163"/>
      <c r="E152" s="1163"/>
      <c r="F152" s="1163">
        <v>0</v>
      </c>
      <c r="G152" s="1163">
        <f t="shared" si="174"/>
        <v>0</v>
      </c>
      <c r="H152" s="1163">
        <v>0</v>
      </c>
      <c r="I152" s="1163">
        <f t="shared" si="175"/>
        <v>0</v>
      </c>
      <c r="J152" s="1163">
        <f t="shared" ref="J152:P152" si="183">+I152*1.04</f>
        <v>0</v>
      </c>
      <c r="K152" s="1163">
        <f t="shared" si="183"/>
        <v>0</v>
      </c>
      <c r="L152" s="1163">
        <f t="shared" si="183"/>
        <v>0</v>
      </c>
      <c r="M152" s="1163">
        <f t="shared" si="183"/>
        <v>0</v>
      </c>
      <c r="N152" s="1163">
        <f t="shared" si="183"/>
        <v>0</v>
      </c>
      <c r="O152" s="1163">
        <f t="shared" si="183"/>
        <v>0</v>
      </c>
      <c r="P152" s="1163">
        <f t="shared" si="183"/>
        <v>0</v>
      </c>
      <c r="Q152" s="1163">
        <f t="shared" si="177"/>
        <v>0</v>
      </c>
      <c r="R152" s="1163">
        <f t="shared" si="177"/>
        <v>0</v>
      </c>
      <c r="S152" s="1163">
        <f t="shared" si="177"/>
        <v>0</v>
      </c>
      <c r="T152" s="1163">
        <f t="shared" si="177"/>
        <v>0</v>
      </c>
      <c r="U152" s="1163">
        <f t="shared" si="177"/>
        <v>0</v>
      </c>
      <c r="V152" s="1163">
        <f t="shared" si="178"/>
        <v>0</v>
      </c>
      <c r="W152" s="1163">
        <f t="shared" si="178"/>
        <v>0</v>
      </c>
    </row>
    <row r="153" spans="1:23" hidden="1">
      <c r="A153" s="409" t="str">
        <f>+Gastos!A172</f>
        <v>91A</v>
      </c>
      <c r="B153" s="1182" t="str">
        <f>+Gastos!C172</f>
        <v xml:space="preserve">       Cultura</v>
      </c>
      <c r="C153" s="1163"/>
      <c r="D153" s="1163"/>
      <c r="E153" s="1163"/>
      <c r="F153" s="1163">
        <v>0</v>
      </c>
      <c r="G153" s="1163">
        <f t="shared" si="174"/>
        <v>0</v>
      </c>
      <c r="H153" s="1163">
        <v>0</v>
      </c>
      <c r="I153" s="1163">
        <f t="shared" si="175"/>
        <v>0</v>
      </c>
      <c r="J153" s="1163">
        <f t="shared" ref="J153:P153" si="184">+I153*1.04</f>
        <v>0</v>
      </c>
      <c r="K153" s="1163">
        <f t="shared" si="184"/>
        <v>0</v>
      </c>
      <c r="L153" s="1163">
        <f t="shared" si="184"/>
        <v>0</v>
      </c>
      <c r="M153" s="1163">
        <f t="shared" si="184"/>
        <v>0</v>
      </c>
      <c r="N153" s="1163">
        <f t="shared" si="184"/>
        <v>0</v>
      </c>
      <c r="O153" s="1163">
        <f t="shared" si="184"/>
        <v>0</v>
      </c>
      <c r="P153" s="1163">
        <f t="shared" si="184"/>
        <v>0</v>
      </c>
      <c r="Q153" s="1163">
        <f t="shared" si="177"/>
        <v>0</v>
      </c>
      <c r="R153" s="1163">
        <f t="shared" si="177"/>
        <v>0</v>
      </c>
      <c r="S153" s="1163">
        <f t="shared" si="177"/>
        <v>0</v>
      </c>
      <c r="T153" s="1163">
        <f t="shared" si="177"/>
        <v>0</v>
      </c>
      <c r="U153" s="1163">
        <f t="shared" si="177"/>
        <v>0</v>
      </c>
      <c r="V153" s="1163">
        <f t="shared" si="178"/>
        <v>0</v>
      </c>
      <c r="W153" s="1163">
        <f t="shared" si="178"/>
        <v>0</v>
      </c>
    </row>
    <row r="154" spans="1:23" hidden="1">
      <c r="A154" s="409" t="str">
        <f>+Gastos!A173</f>
        <v>92A</v>
      </c>
      <c r="B154" s="1182" t="str">
        <f>+Gastos!C173</f>
        <v xml:space="preserve">       Sector Energético</v>
      </c>
      <c r="C154" s="1163"/>
      <c r="D154" s="1163"/>
      <c r="E154" s="1163"/>
      <c r="F154" s="1163">
        <v>0</v>
      </c>
      <c r="G154" s="1163">
        <f t="shared" si="174"/>
        <v>0</v>
      </c>
      <c r="H154" s="1163">
        <v>0</v>
      </c>
      <c r="I154" s="1163">
        <f t="shared" si="175"/>
        <v>0</v>
      </c>
      <c r="J154" s="1163">
        <f t="shared" ref="J154:P154" si="185">+I154*1.04</f>
        <v>0</v>
      </c>
      <c r="K154" s="1163">
        <f t="shared" si="185"/>
        <v>0</v>
      </c>
      <c r="L154" s="1163">
        <f t="shared" si="185"/>
        <v>0</v>
      </c>
      <c r="M154" s="1163">
        <f t="shared" si="185"/>
        <v>0</v>
      </c>
      <c r="N154" s="1163">
        <f t="shared" si="185"/>
        <v>0</v>
      </c>
      <c r="O154" s="1163">
        <f t="shared" si="185"/>
        <v>0</v>
      </c>
      <c r="P154" s="1163">
        <f t="shared" si="185"/>
        <v>0</v>
      </c>
      <c r="Q154" s="1163">
        <f t="shared" si="177"/>
        <v>0</v>
      </c>
      <c r="R154" s="1163">
        <f t="shared" si="177"/>
        <v>0</v>
      </c>
      <c r="S154" s="1163">
        <f t="shared" si="177"/>
        <v>0</v>
      </c>
      <c r="T154" s="1163">
        <f t="shared" si="177"/>
        <v>0</v>
      </c>
      <c r="U154" s="1163">
        <f t="shared" si="177"/>
        <v>0</v>
      </c>
      <c r="V154" s="1163">
        <f t="shared" si="178"/>
        <v>0</v>
      </c>
      <c r="W154" s="1163">
        <f t="shared" si="178"/>
        <v>0</v>
      </c>
    </row>
    <row r="155" spans="1:23" hidden="1">
      <c r="A155" s="409" t="str">
        <f>+Gastos!A174</f>
        <v>93A</v>
      </c>
      <c r="B155" s="1182" t="str">
        <f>+Gastos!C174</f>
        <v xml:space="preserve">       Desarrollo Agropecuario y Minero</v>
      </c>
      <c r="C155" s="1163"/>
      <c r="D155" s="1163"/>
      <c r="E155" s="1163"/>
      <c r="F155" s="1163">
        <v>0</v>
      </c>
      <c r="G155" s="1163">
        <f t="shared" si="174"/>
        <v>0</v>
      </c>
      <c r="H155" s="1163">
        <v>0</v>
      </c>
      <c r="I155" s="1163">
        <f t="shared" si="175"/>
        <v>0</v>
      </c>
      <c r="J155" s="1163">
        <f t="shared" ref="J155:P155" si="186">+I155*1.04</f>
        <v>0</v>
      </c>
      <c r="K155" s="1163">
        <f t="shared" si="186"/>
        <v>0</v>
      </c>
      <c r="L155" s="1163">
        <f t="shared" si="186"/>
        <v>0</v>
      </c>
      <c r="M155" s="1163">
        <f t="shared" si="186"/>
        <v>0</v>
      </c>
      <c r="N155" s="1163">
        <f t="shared" si="186"/>
        <v>0</v>
      </c>
      <c r="O155" s="1163">
        <f t="shared" si="186"/>
        <v>0</v>
      </c>
      <c r="P155" s="1163">
        <f t="shared" si="186"/>
        <v>0</v>
      </c>
      <c r="Q155" s="1163">
        <f t="shared" si="177"/>
        <v>0</v>
      </c>
      <c r="R155" s="1163">
        <f t="shared" si="177"/>
        <v>0</v>
      </c>
      <c r="S155" s="1163">
        <f t="shared" si="177"/>
        <v>0</v>
      </c>
      <c r="T155" s="1163">
        <f t="shared" si="177"/>
        <v>0</v>
      </c>
      <c r="U155" s="1163">
        <f t="shared" si="177"/>
        <v>0</v>
      </c>
      <c r="V155" s="1163">
        <f t="shared" si="178"/>
        <v>0</v>
      </c>
      <c r="W155" s="1163">
        <f t="shared" si="178"/>
        <v>0</v>
      </c>
    </row>
    <row r="156" spans="1:23" hidden="1">
      <c r="A156" s="409" t="str">
        <f>+Gastos!A175</f>
        <v>94A</v>
      </c>
      <c r="B156" s="1182" t="str">
        <f>+Gastos!C175</f>
        <v xml:space="preserve">       Infraestructura Urbana</v>
      </c>
      <c r="C156" s="1163"/>
      <c r="D156" s="1163"/>
      <c r="E156" s="1163"/>
      <c r="F156" s="1163">
        <v>0</v>
      </c>
      <c r="G156" s="1163">
        <f t="shared" si="174"/>
        <v>0</v>
      </c>
      <c r="H156" s="1163">
        <v>0</v>
      </c>
      <c r="I156" s="1163">
        <f t="shared" si="175"/>
        <v>0</v>
      </c>
      <c r="J156" s="1163">
        <f t="shared" ref="J156:P156" si="187">+I156*1.04</f>
        <v>0</v>
      </c>
      <c r="K156" s="1163">
        <f t="shared" si="187"/>
        <v>0</v>
      </c>
      <c r="L156" s="1163">
        <f t="shared" si="187"/>
        <v>0</v>
      </c>
      <c r="M156" s="1163">
        <f t="shared" si="187"/>
        <v>0</v>
      </c>
      <c r="N156" s="1163">
        <f t="shared" si="187"/>
        <v>0</v>
      </c>
      <c r="O156" s="1163">
        <f t="shared" si="187"/>
        <v>0</v>
      </c>
      <c r="P156" s="1163">
        <f t="shared" si="187"/>
        <v>0</v>
      </c>
      <c r="Q156" s="1163">
        <f t="shared" si="177"/>
        <v>0</v>
      </c>
      <c r="R156" s="1163">
        <f t="shared" si="177"/>
        <v>0</v>
      </c>
      <c r="S156" s="1163">
        <f t="shared" si="177"/>
        <v>0</v>
      </c>
      <c r="T156" s="1163">
        <f t="shared" si="177"/>
        <v>0</v>
      </c>
      <c r="U156" s="1163">
        <f t="shared" si="177"/>
        <v>0</v>
      </c>
      <c r="V156" s="1163">
        <f t="shared" si="178"/>
        <v>0</v>
      </c>
      <c r="W156" s="1163">
        <f t="shared" si="178"/>
        <v>0</v>
      </c>
    </row>
    <row r="157" spans="1:23" hidden="1">
      <c r="A157" s="409" t="str">
        <f>+Gastos!A176</f>
        <v>95A</v>
      </c>
      <c r="B157" s="1182" t="str">
        <f>+Gastos!C176</f>
        <v xml:space="preserve">       Desarrollo de la comunidad</v>
      </c>
      <c r="C157" s="1163"/>
      <c r="D157" s="1163"/>
      <c r="E157" s="1163"/>
      <c r="F157" s="1163">
        <v>0</v>
      </c>
      <c r="G157" s="1163">
        <f t="shared" si="174"/>
        <v>0</v>
      </c>
      <c r="H157" s="1163">
        <v>0</v>
      </c>
      <c r="I157" s="1163">
        <f t="shared" si="175"/>
        <v>0</v>
      </c>
      <c r="J157" s="1163">
        <f t="shared" ref="J157:P157" si="188">+I157*1.04</f>
        <v>0</v>
      </c>
      <c r="K157" s="1163">
        <f t="shared" si="188"/>
        <v>0</v>
      </c>
      <c r="L157" s="1163">
        <f t="shared" si="188"/>
        <v>0</v>
      </c>
      <c r="M157" s="1163">
        <f t="shared" si="188"/>
        <v>0</v>
      </c>
      <c r="N157" s="1163">
        <f t="shared" si="188"/>
        <v>0</v>
      </c>
      <c r="O157" s="1163">
        <f t="shared" si="188"/>
        <v>0</v>
      </c>
      <c r="P157" s="1163">
        <f t="shared" si="188"/>
        <v>0</v>
      </c>
      <c r="Q157" s="1163">
        <f t="shared" si="177"/>
        <v>0</v>
      </c>
      <c r="R157" s="1163">
        <f t="shared" si="177"/>
        <v>0</v>
      </c>
      <c r="S157" s="1163">
        <f t="shared" si="177"/>
        <v>0</v>
      </c>
      <c r="T157" s="1163">
        <f t="shared" si="177"/>
        <v>0</v>
      </c>
      <c r="U157" s="1163">
        <f t="shared" si="177"/>
        <v>0</v>
      </c>
      <c r="V157" s="1163">
        <f t="shared" si="178"/>
        <v>0</v>
      </c>
      <c r="W157" s="1163">
        <f t="shared" si="178"/>
        <v>0</v>
      </c>
    </row>
    <row r="158" spans="1:23" hidden="1">
      <c r="A158" s="409" t="str">
        <f>+Gastos!A177</f>
        <v>96A</v>
      </c>
      <c r="B158" s="1182" t="str">
        <f>+Gastos!C177</f>
        <v xml:space="preserve">       Justicia, defensa y seguridad</v>
      </c>
      <c r="C158" s="1163"/>
      <c r="D158" s="1163"/>
      <c r="E158" s="1163"/>
      <c r="F158" s="1163">
        <v>0</v>
      </c>
      <c r="G158" s="1163">
        <f t="shared" si="174"/>
        <v>0</v>
      </c>
      <c r="H158" s="1163">
        <v>0</v>
      </c>
      <c r="I158" s="1163">
        <f t="shared" si="175"/>
        <v>0</v>
      </c>
      <c r="J158" s="1163">
        <f t="shared" ref="J158:P158" si="189">+I158*1.04</f>
        <v>0</v>
      </c>
      <c r="K158" s="1163">
        <f t="shared" si="189"/>
        <v>0</v>
      </c>
      <c r="L158" s="1163">
        <f t="shared" si="189"/>
        <v>0</v>
      </c>
      <c r="M158" s="1163">
        <f t="shared" si="189"/>
        <v>0</v>
      </c>
      <c r="N158" s="1163">
        <f t="shared" si="189"/>
        <v>0</v>
      </c>
      <c r="O158" s="1163">
        <f t="shared" si="189"/>
        <v>0</v>
      </c>
      <c r="P158" s="1163">
        <f t="shared" si="189"/>
        <v>0</v>
      </c>
      <c r="Q158" s="1163">
        <f t="shared" si="177"/>
        <v>0</v>
      </c>
      <c r="R158" s="1163">
        <f t="shared" si="177"/>
        <v>0</v>
      </c>
      <c r="S158" s="1163">
        <f t="shared" si="177"/>
        <v>0</v>
      </c>
      <c r="T158" s="1163">
        <f t="shared" si="177"/>
        <v>0</v>
      </c>
      <c r="U158" s="1163">
        <f t="shared" si="177"/>
        <v>0</v>
      </c>
      <c r="V158" s="1163">
        <f t="shared" si="178"/>
        <v>0</v>
      </c>
      <c r="W158" s="1163">
        <f t="shared" si="178"/>
        <v>0</v>
      </c>
    </row>
    <row r="159" spans="1:23" hidden="1">
      <c r="A159" s="409" t="str">
        <f>+Gastos!A178</f>
        <v>97A</v>
      </c>
      <c r="B159" s="1182" t="str">
        <f>+Gastos!C178</f>
        <v xml:space="preserve">       Medio Ambiente</v>
      </c>
      <c r="C159" s="1163"/>
      <c r="D159" s="1163"/>
      <c r="E159" s="1163"/>
      <c r="F159" s="1163">
        <v>0</v>
      </c>
      <c r="G159" s="1163">
        <f t="shared" si="174"/>
        <v>0</v>
      </c>
      <c r="H159" s="1163">
        <v>0</v>
      </c>
      <c r="I159" s="1163">
        <f t="shared" si="175"/>
        <v>0</v>
      </c>
      <c r="J159" s="1163">
        <f t="shared" ref="J159:P159" si="190">+I159*1.04</f>
        <v>0</v>
      </c>
      <c r="K159" s="1163">
        <f t="shared" si="190"/>
        <v>0</v>
      </c>
      <c r="L159" s="1163">
        <f t="shared" si="190"/>
        <v>0</v>
      </c>
      <c r="M159" s="1163">
        <f t="shared" si="190"/>
        <v>0</v>
      </c>
      <c r="N159" s="1163">
        <f t="shared" si="190"/>
        <v>0</v>
      </c>
      <c r="O159" s="1163">
        <f t="shared" si="190"/>
        <v>0</v>
      </c>
      <c r="P159" s="1163">
        <f t="shared" si="190"/>
        <v>0</v>
      </c>
      <c r="Q159" s="1163">
        <f t="shared" si="177"/>
        <v>0</v>
      </c>
      <c r="R159" s="1163">
        <f t="shared" si="177"/>
        <v>0</v>
      </c>
      <c r="S159" s="1163">
        <f t="shared" si="177"/>
        <v>0</v>
      </c>
      <c r="T159" s="1163">
        <f t="shared" si="177"/>
        <v>0</v>
      </c>
      <c r="U159" s="1163">
        <f t="shared" si="177"/>
        <v>0</v>
      </c>
      <c r="V159" s="1163">
        <f t="shared" si="178"/>
        <v>0</v>
      </c>
      <c r="W159" s="1163">
        <f t="shared" si="178"/>
        <v>0</v>
      </c>
    </row>
    <row r="160" spans="1:23" ht="22.5" hidden="1">
      <c r="A160" s="409" t="str">
        <f>+Gastos!A179</f>
        <v>98A</v>
      </c>
      <c r="B160" s="1180" t="str">
        <f>+Gastos!C179</f>
        <v xml:space="preserve">    Subsidios para el acceso de la población al servicio</v>
      </c>
      <c r="C160" s="1162">
        <f>SUM(C161:C165)</f>
        <v>0</v>
      </c>
      <c r="D160" s="1162">
        <f>SUM(D161:D165)</f>
        <v>0</v>
      </c>
      <c r="E160" s="1162">
        <f>SUM(E161:E165)</f>
        <v>0</v>
      </c>
      <c r="F160" s="1162">
        <f>SUM(F161:F165)</f>
        <v>0</v>
      </c>
      <c r="G160" s="1162">
        <f>SUM(G161:G165)</f>
        <v>0</v>
      </c>
      <c r="H160" s="1162">
        <v>0</v>
      </c>
      <c r="I160" s="1162">
        <f>SUM(I161:I165)</f>
        <v>0</v>
      </c>
      <c r="J160" s="1162">
        <f t="shared" ref="J160:P160" si="191">SUM(J161:J165)</f>
        <v>0</v>
      </c>
      <c r="K160" s="1162">
        <f t="shared" si="191"/>
        <v>0</v>
      </c>
      <c r="L160" s="1162">
        <f t="shared" si="191"/>
        <v>0</v>
      </c>
      <c r="M160" s="1162">
        <f t="shared" si="191"/>
        <v>0</v>
      </c>
      <c r="N160" s="1162">
        <f t="shared" si="191"/>
        <v>0</v>
      </c>
      <c r="O160" s="1162">
        <f t="shared" si="191"/>
        <v>0</v>
      </c>
      <c r="P160" s="1162">
        <f t="shared" si="191"/>
        <v>0</v>
      </c>
      <c r="Q160" s="1162">
        <f t="shared" ref="Q160:V160" si="192">SUM(Q161:Q165)</f>
        <v>0</v>
      </c>
      <c r="R160" s="1162">
        <f t="shared" si="192"/>
        <v>0</v>
      </c>
      <c r="S160" s="1162">
        <f t="shared" si="192"/>
        <v>0</v>
      </c>
      <c r="T160" s="1162">
        <f t="shared" si="192"/>
        <v>0</v>
      </c>
      <c r="U160" s="1162">
        <f t="shared" si="192"/>
        <v>0</v>
      </c>
      <c r="V160" s="1162">
        <f t="shared" si="192"/>
        <v>0</v>
      </c>
      <c r="W160" s="1162">
        <f>SUM(W161:W165)</f>
        <v>0</v>
      </c>
    </row>
    <row r="161" spans="1:23" hidden="1">
      <c r="A161" s="409" t="str">
        <f>+Gastos!A180</f>
        <v>311A</v>
      </c>
      <c r="B161" s="1182" t="str">
        <f>+Gastos!C180</f>
        <v xml:space="preserve">       Agua Potable y Saneamiento Básico</v>
      </c>
      <c r="C161" s="1163"/>
      <c r="D161" s="1163"/>
      <c r="E161" s="1163"/>
      <c r="F161" s="1163"/>
      <c r="G161" s="1163">
        <f>+F161*1.04</f>
        <v>0</v>
      </c>
      <c r="H161" s="1163">
        <v>0</v>
      </c>
      <c r="I161" s="1163">
        <f>+H161*1.04</f>
        <v>0</v>
      </c>
      <c r="J161" s="1163">
        <f t="shared" ref="J161:P161" si="193">+I161*1.04</f>
        <v>0</v>
      </c>
      <c r="K161" s="1163">
        <f t="shared" si="193"/>
        <v>0</v>
      </c>
      <c r="L161" s="1163">
        <f t="shared" si="193"/>
        <v>0</v>
      </c>
      <c r="M161" s="1163">
        <f t="shared" si="193"/>
        <v>0</v>
      </c>
      <c r="N161" s="1163">
        <f t="shared" si="193"/>
        <v>0</v>
      </c>
      <c r="O161" s="1163">
        <f t="shared" si="193"/>
        <v>0</v>
      </c>
      <c r="P161" s="1163">
        <f t="shared" si="193"/>
        <v>0</v>
      </c>
      <c r="Q161" s="1163">
        <f t="shared" ref="Q161:U165" si="194">+P161*1.04</f>
        <v>0</v>
      </c>
      <c r="R161" s="1163">
        <f t="shared" si="194"/>
        <v>0</v>
      </c>
      <c r="S161" s="1163">
        <f t="shared" si="194"/>
        <v>0</v>
      </c>
      <c r="T161" s="1163">
        <f t="shared" si="194"/>
        <v>0</v>
      </c>
      <c r="U161" s="1163">
        <f t="shared" si="194"/>
        <v>0</v>
      </c>
      <c r="V161" s="1163">
        <f t="shared" ref="V161:W165" si="195">+U161*1.04</f>
        <v>0</v>
      </c>
      <c r="W161" s="1163">
        <f t="shared" si="195"/>
        <v>0</v>
      </c>
    </row>
    <row r="162" spans="1:23" hidden="1">
      <c r="A162" s="409" t="str">
        <f>+Gastos!A181</f>
        <v>99A</v>
      </c>
      <c r="B162" s="1182" t="str">
        <f>+Gastos!C181</f>
        <v xml:space="preserve">       Vivienda</v>
      </c>
      <c r="C162" s="1163"/>
      <c r="D162" s="1163"/>
      <c r="E162" s="1163"/>
      <c r="F162" s="1163"/>
      <c r="G162" s="1163">
        <f>+F162*1.04</f>
        <v>0</v>
      </c>
      <c r="H162" s="1163">
        <v>0</v>
      </c>
      <c r="I162" s="1163">
        <f>+H162*1.04</f>
        <v>0</v>
      </c>
      <c r="J162" s="1163">
        <f t="shared" ref="J162:P162" si="196">+I162*1.04</f>
        <v>0</v>
      </c>
      <c r="K162" s="1163">
        <f t="shared" si="196"/>
        <v>0</v>
      </c>
      <c r="L162" s="1163">
        <f t="shared" si="196"/>
        <v>0</v>
      </c>
      <c r="M162" s="1163">
        <f t="shared" si="196"/>
        <v>0</v>
      </c>
      <c r="N162" s="1163">
        <f t="shared" si="196"/>
        <v>0</v>
      </c>
      <c r="O162" s="1163">
        <f t="shared" si="196"/>
        <v>0</v>
      </c>
      <c r="P162" s="1163">
        <f t="shared" si="196"/>
        <v>0</v>
      </c>
      <c r="Q162" s="1163">
        <f t="shared" si="194"/>
        <v>0</v>
      </c>
      <c r="R162" s="1163">
        <f t="shared" si="194"/>
        <v>0</v>
      </c>
      <c r="S162" s="1163">
        <f t="shared" si="194"/>
        <v>0</v>
      </c>
      <c r="T162" s="1163">
        <f t="shared" si="194"/>
        <v>0</v>
      </c>
      <c r="U162" s="1163">
        <f t="shared" si="194"/>
        <v>0</v>
      </c>
      <c r="V162" s="1163">
        <f t="shared" si="195"/>
        <v>0</v>
      </c>
      <c r="W162" s="1163">
        <f t="shared" si="195"/>
        <v>0</v>
      </c>
    </row>
    <row r="163" spans="1:23" hidden="1">
      <c r="A163" s="409" t="str">
        <f>+Gastos!A182</f>
        <v>100A</v>
      </c>
      <c r="B163" s="1182" t="str">
        <f>+Gastos!C182</f>
        <v xml:space="preserve">       Educación</v>
      </c>
      <c r="C163" s="1163"/>
      <c r="D163" s="1163"/>
      <c r="E163" s="1163"/>
      <c r="F163" s="1163"/>
      <c r="G163" s="1163">
        <f>+F163*1.04</f>
        <v>0</v>
      </c>
      <c r="H163" s="1163">
        <v>0</v>
      </c>
      <c r="I163" s="1163">
        <f>+H163*1.04</f>
        <v>0</v>
      </c>
      <c r="J163" s="1163">
        <f t="shared" ref="J163:P163" si="197">+I163*1.04</f>
        <v>0</v>
      </c>
      <c r="K163" s="1163">
        <f t="shared" si="197"/>
        <v>0</v>
      </c>
      <c r="L163" s="1163">
        <f t="shared" si="197"/>
        <v>0</v>
      </c>
      <c r="M163" s="1163">
        <f t="shared" si="197"/>
        <v>0</v>
      </c>
      <c r="N163" s="1163">
        <f t="shared" si="197"/>
        <v>0</v>
      </c>
      <c r="O163" s="1163">
        <f t="shared" si="197"/>
        <v>0</v>
      </c>
      <c r="P163" s="1163">
        <f t="shared" si="197"/>
        <v>0</v>
      </c>
      <c r="Q163" s="1163">
        <f t="shared" si="194"/>
        <v>0</v>
      </c>
      <c r="R163" s="1163">
        <f t="shared" si="194"/>
        <v>0</v>
      </c>
      <c r="S163" s="1163">
        <f t="shared" si="194"/>
        <v>0</v>
      </c>
      <c r="T163" s="1163">
        <f t="shared" si="194"/>
        <v>0</v>
      </c>
      <c r="U163" s="1163">
        <f t="shared" si="194"/>
        <v>0</v>
      </c>
      <c r="V163" s="1163">
        <f t="shared" si="195"/>
        <v>0</v>
      </c>
      <c r="W163" s="1163">
        <f t="shared" si="195"/>
        <v>0</v>
      </c>
    </row>
    <row r="164" spans="1:23" hidden="1">
      <c r="A164" s="409" t="str">
        <f>+Gastos!A183</f>
        <v>101A</v>
      </c>
      <c r="B164" s="1182" t="str">
        <f>+Gastos!C183</f>
        <v xml:space="preserve">       Salud</v>
      </c>
      <c r="C164" s="1163"/>
      <c r="D164" s="1163"/>
      <c r="E164" s="1163"/>
      <c r="F164" s="1163"/>
      <c r="G164" s="1163">
        <f>+F164*1.04</f>
        <v>0</v>
      </c>
      <c r="H164" s="1163">
        <v>0</v>
      </c>
      <c r="I164" s="1163">
        <f>+H164*1.04</f>
        <v>0</v>
      </c>
      <c r="J164" s="1163">
        <f t="shared" ref="J164:P164" si="198">+I164*1.04</f>
        <v>0</v>
      </c>
      <c r="K164" s="1163">
        <f t="shared" si="198"/>
        <v>0</v>
      </c>
      <c r="L164" s="1163">
        <f t="shared" si="198"/>
        <v>0</v>
      </c>
      <c r="M164" s="1163">
        <f t="shared" si="198"/>
        <v>0</v>
      </c>
      <c r="N164" s="1163">
        <f t="shared" si="198"/>
        <v>0</v>
      </c>
      <c r="O164" s="1163">
        <f t="shared" si="198"/>
        <v>0</v>
      </c>
      <c r="P164" s="1163">
        <f t="shared" si="198"/>
        <v>0</v>
      </c>
      <c r="Q164" s="1163">
        <f t="shared" si="194"/>
        <v>0</v>
      </c>
      <c r="R164" s="1163">
        <f t="shared" si="194"/>
        <v>0</v>
      </c>
      <c r="S164" s="1163">
        <f t="shared" si="194"/>
        <v>0</v>
      </c>
      <c r="T164" s="1163">
        <f t="shared" si="194"/>
        <v>0</v>
      </c>
      <c r="U164" s="1163">
        <f t="shared" si="194"/>
        <v>0</v>
      </c>
      <c r="V164" s="1163">
        <f t="shared" si="195"/>
        <v>0</v>
      </c>
      <c r="W164" s="1163">
        <f t="shared" si="195"/>
        <v>0</v>
      </c>
    </row>
    <row r="165" spans="1:23" hidden="1">
      <c r="A165" s="409" t="str">
        <f>+Gastos!A184</f>
        <v>102A</v>
      </c>
      <c r="B165" s="1182" t="str">
        <f>+Gastos!C184</f>
        <v xml:space="preserve">       Desarrollo Agropecuario y Minero</v>
      </c>
      <c r="C165" s="1163"/>
      <c r="D165" s="1163"/>
      <c r="E165" s="1163"/>
      <c r="F165" s="1163"/>
      <c r="G165" s="1163">
        <f>+F165*1.04</f>
        <v>0</v>
      </c>
      <c r="H165" s="1163">
        <v>0</v>
      </c>
      <c r="I165" s="1163">
        <f>+H165*1.04</f>
        <v>0</v>
      </c>
      <c r="J165" s="1163">
        <f t="shared" ref="J165:P165" si="199">+I165*1.04</f>
        <v>0</v>
      </c>
      <c r="K165" s="1163">
        <f t="shared" si="199"/>
        <v>0</v>
      </c>
      <c r="L165" s="1163">
        <f t="shared" si="199"/>
        <v>0</v>
      </c>
      <c r="M165" s="1163">
        <f t="shared" si="199"/>
        <v>0</v>
      </c>
      <c r="N165" s="1163">
        <f t="shared" si="199"/>
        <v>0</v>
      </c>
      <c r="O165" s="1163">
        <f t="shared" si="199"/>
        <v>0</v>
      </c>
      <c r="P165" s="1163">
        <f t="shared" si="199"/>
        <v>0</v>
      </c>
      <c r="Q165" s="1163">
        <f t="shared" si="194"/>
        <v>0</v>
      </c>
      <c r="R165" s="1163">
        <f t="shared" si="194"/>
        <v>0</v>
      </c>
      <c r="S165" s="1163">
        <f t="shared" si="194"/>
        <v>0</v>
      </c>
      <c r="T165" s="1163">
        <f t="shared" si="194"/>
        <v>0</v>
      </c>
      <c r="U165" s="1163">
        <f t="shared" si="194"/>
        <v>0</v>
      </c>
      <c r="V165" s="1163">
        <f t="shared" si="195"/>
        <v>0</v>
      </c>
      <c r="W165" s="1163">
        <f t="shared" si="195"/>
        <v>0</v>
      </c>
    </row>
    <row r="166" spans="1:23">
      <c r="A166" s="409" t="str">
        <f>+Gastos!A185</f>
        <v>103A</v>
      </c>
      <c r="B166" s="1180" t="s">
        <v>1171</v>
      </c>
      <c r="C166" s="1162">
        <f>SUM(C167:C180)</f>
        <v>0</v>
      </c>
      <c r="D166" s="1162">
        <f>SUM(D167:D180)</f>
        <v>0</v>
      </c>
      <c r="E166" s="1162">
        <f>SUM(E167:E180)</f>
        <v>0</v>
      </c>
      <c r="F166" s="1162">
        <f>SUM(F167:F180)</f>
        <v>171620</v>
      </c>
      <c r="G166" s="1162">
        <f>SUM(G167:G180)</f>
        <v>178484.80000000002</v>
      </c>
      <c r="H166" s="1162">
        <v>192179</v>
      </c>
      <c r="I166" s="1162">
        <f>SUM(I167:I180)</f>
        <v>123884</v>
      </c>
      <c r="J166" s="1162">
        <f t="shared" ref="J166:P166" si="200">SUM(J167:J180)</f>
        <v>154001.91200000001</v>
      </c>
      <c r="K166" s="1162">
        <f t="shared" si="200"/>
        <v>160161.98848000003</v>
      </c>
      <c r="L166" s="1162">
        <f t="shared" si="200"/>
        <v>166568.46801920005</v>
      </c>
      <c r="M166" s="1162">
        <f t="shared" si="200"/>
        <v>175631.20673996804</v>
      </c>
      <c r="N166" s="1162">
        <f t="shared" si="200"/>
        <v>182656.45500956674</v>
      </c>
      <c r="O166" s="1162">
        <f t="shared" si="200"/>
        <v>189962.71320994943</v>
      </c>
      <c r="P166" s="1162">
        <f t="shared" si="200"/>
        <v>197561.22173834741</v>
      </c>
      <c r="Q166" s="1162">
        <f t="shared" ref="Q166:V166" si="201">SUM(Q167:Q180)</f>
        <v>205463.67060788133</v>
      </c>
      <c r="R166" s="1162">
        <f t="shared" si="201"/>
        <v>213682.2174321966</v>
      </c>
      <c r="S166" s="1162">
        <f t="shared" si="201"/>
        <v>222229.50612948451</v>
      </c>
      <c r="T166" s="1162">
        <f t="shared" si="201"/>
        <v>231118.68637466381</v>
      </c>
      <c r="U166" s="1162">
        <f t="shared" si="201"/>
        <v>240363.43382965034</v>
      </c>
      <c r="V166" s="1162">
        <f t="shared" si="201"/>
        <v>249977.97118283642</v>
      </c>
      <c r="W166" s="1162">
        <f>SUM(W167:W180)</f>
        <v>259977.09003014991</v>
      </c>
    </row>
    <row r="167" spans="1:23">
      <c r="A167" s="409" t="str">
        <f>+Gastos!A186</f>
        <v>104A</v>
      </c>
      <c r="B167" s="1182" t="s">
        <v>1172</v>
      </c>
      <c r="C167" s="1163"/>
      <c r="D167" s="1163"/>
      <c r="E167" s="1163"/>
      <c r="F167" s="1163">
        <v>0</v>
      </c>
      <c r="G167" s="1163">
        <f>+F167*1.04</f>
        <v>0</v>
      </c>
      <c r="H167" s="1163">
        <v>192179</v>
      </c>
      <c r="I167" s="1163">
        <f>+'Ingresos Proyecciones'!I44*0.2</f>
        <v>123884</v>
      </c>
      <c r="J167" s="1163">
        <f>+('Ingresos Proyecciones'!J13-'Ingresos Proyecciones'!J27+'Ingresos Proyecciones'!J44+'Ingresos Proyecciones'!J36+'Ingresos Proyecciones'!J37)*0.2</f>
        <v>154001.91200000001</v>
      </c>
      <c r="K167" s="1163">
        <f>+('Ingresos Proyecciones'!K13-'Ingresos Proyecciones'!K27+'Ingresos Proyecciones'!K44+'Ingresos Proyecciones'!K36+'Ingresos Proyecciones'!K37)*0.2</f>
        <v>160161.98848000003</v>
      </c>
      <c r="L167" s="1163">
        <f>+('Ingresos Proyecciones'!L13-'Ingresos Proyecciones'!L27+'Ingresos Proyecciones'!L44+'Ingresos Proyecciones'!L36+'Ingresos Proyecciones'!L37)*0.2</f>
        <v>166568.46801920005</v>
      </c>
      <c r="M167" s="1163">
        <f>+('Ingresos Proyecciones'!M13-'Ingresos Proyecciones'!M27+'Ingresos Proyecciones'!M44+'Ingresos Proyecciones'!M36+'Ingresos Proyecciones'!M37)*0.2</f>
        <v>175631.20673996804</v>
      </c>
      <c r="N167" s="1163">
        <f>+('Ingresos Proyecciones'!N13-'Ingresos Proyecciones'!N27+'Ingresos Proyecciones'!N44+'Ingresos Proyecciones'!N36+'Ingresos Proyecciones'!N37)*0.2</f>
        <v>182656.45500956674</v>
      </c>
      <c r="O167" s="1163">
        <f>+('Ingresos Proyecciones'!O13-'Ingresos Proyecciones'!O27+'Ingresos Proyecciones'!O44+'Ingresos Proyecciones'!O36+'Ingresos Proyecciones'!O37)*0.2</f>
        <v>189962.71320994943</v>
      </c>
      <c r="P167" s="1163">
        <f>+('Ingresos Proyecciones'!P13-'Ingresos Proyecciones'!P27+'Ingresos Proyecciones'!P44+'Ingresos Proyecciones'!P36+'Ingresos Proyecciones'!P37)*0.2</f>
        <v>197561.22173834741</v>
      </c>
      <c r="Q167" s="1163">
        <f>+('Ingresos Proyecciones'!Q13-'Ingresos Proyecciones'!Q27+'Ingresos Proyecciones'!Q44+'Ingresos Proyecciones'!Q36+'Ingresos Proyecciones'!Q37)*0.2</f>
        <v>205463.67060788133</v>
      </c>
      <c r="R167" s="1163">
        <f>+('Ingresos Proyecciones'!R13-'Ingresos Proyecciones'!R27+'Ingresos Proyecciones'!R44+'Ingresos Proyecciones'!R36+'Ingresos Proyecciones'!R37)*0.2</f>
        <v>213682.2174321966</v>
      </c>
      <c r="S167" s="1163">
        <f>+('Ingresos Proyecciones'!S13-'Ingresos Proyecciones'!S27+'Ingresos Proyecciones'!S44+'Ingresos Proyecciones'!S36+'Ingresos Proyecciones'!S37)*0.2</f>
        <v>222229.50612948451</v>
      </c>
      <c r="T167" s="1163">
        <f>+('Ingresos Proyecciones'!T13-'Ingresos Proyecciones'!T27+'Ingresos Proyecciones'!T44+'Ingresos Proyecciones'!T36+'Ingresos Proyecciones'!T37)*0.2</f>
        <v>231118.68637466381</v>
      </c>
      <c r="U167" s="1163">
        <f>+('Ingresos Proyecciones'!U13-'Ingresos Proyecciones'!U27+'Ingresos Proyecciones'!U44+'Ingresos Proyecciones'!U36+'Ingresos Proyecciones'!U37)*0.2</f>
        <v>240363.43382965034</v>
      </c>
      <c r="V167" s="1163">
        <f>+('Ingresos Proyecciones'!V13-'Ingresos Proyecciones'!V27+'Ingresos Proyecciones'!V44+'Ingresos Proyecciones'!V36+'Ingresos Proyecciones'!V37)*0.2</f>
        <v>249977.97118283642</v>
      </c>
      <c r="W167" s="1163">
        <f>+('Ingresos Proyecciones'!W13-'Ingresos Proyecciones'!W27+'Ingresos Proyecciones'!W44+'Ingresos Proyecciones'!W36+'Ingresos Proyecciones'!W37)*0.2</f>
        <v>259977.09003014991</v>
      </c>
    </row>
    <row r="168" spans="1:23" hidden="1">
      <c r="A168" s="397" t="str">
        <f>+Gastos!A187</f>
        <v>105A</v>
      </c>
      <c r="B168" s="1182" t="str">
        <f>+Gastos!C187</f>
        <v xml:space="preserve">       Infraestructura Vial </v>
      </c>
      <c r="C168" s="1163"/>
      <c r="D168" s="1163"/>
      <c r="E168" s="1163"/>
      <c r="F168" s="1163">
        <v>71966</v>
      </c>
      <c r="G168" s="1163">
        <f t="shared" ref="G168:P168" si="202">+F168*1.04</f>
        <v>74844.639999999999</v>
      </c>
      <c r="H168" s="1163"/>
      <c r="I168" s="1163">
        <f t="shared" si="202"/>
        <v>0</v>
      </c>
      <c r="J168" s="1163">
        <f t="shared" si="202"/>
        <v>0</v>
      </c>
      <c r="K168" s="1163">
        <f t="shared" si="202"/>
        <v>0</v>
      </c>
      <c r="L168" s="1163">
        <f t="shared" si="202"/>
        <v>0</v>
      </c>
      <c r="M168" s="1163">
        <f t="shared" si="202"/>
        <v>0</v>
      </c>
      <c r="N168" s="1163">
        <f t="shared" si="202"/>
        <v>0</v>
      </c>
      <c r="O168" s="1163">
        <f t="shared" si="202"/>
        <v>0</v>
      </c>
      <c r="P168" s="1163">
        <f t="shared" si="202"/>
        <v>0</v>
      </c>
      <c r="Q168" s="1163">
        <f t="shared" ref="Q168:U180" si="203">+P168*1.04</f>
        <v>0</v>
      </c>
      <c r="R168" s="1163">
        <f t="shared" si="203"/>
        <v>0</v>
      </c>
      <c r="S168" s="1163">
        <f t="shared" si="203"/>
        <v>0</v>
      </c>
      <c r="T168" s="1163">
        <f t="shared" si="203"/>
        <v>0</v>
      </c>
      <c r="U168" s="1163">
        <f t="shared" si="203"/>
        <v>0</v>
      </c>
      <c r="V168" s="1163">
        <f t="shared" ref="V168:W180" si="204">+U168*1.04</f>
        <v>0</v>
      </c>
      <c r="W168" s="1163">
        <f t="shared" si="204"/>
        <v>0</v>
      </c>
    </row>
    <row r="169" spans="1:23" hidden="1">
      <c r="A169" s="397" t="str">
        <f>+Gastos!A188</f>
        <v>106A</v>
      </c>
      <c r="B169" s="1182" t="str">
        <f>+Gastos!C188</f>
        <v xml:space="preserve">       Vivienda</v>
      </c>
      <c r="C169" s="1163"/>
      <c r="D169" s="1163"/>
      <c r="E169" s="1163"/>
      <c r="F169" s="1163">
        <v>0</v>
      </c>
      <c r="G169" s="1163">
        <f t="shared" ref="G169:P169" si="205">+F169*1.04</f>
        <v>0</v>
      </c>
      <c r="H169" s="1163">
        <v>0</v>
      </c>
      <c r="I169" s="1163">
        <f t="shared" si="205"/>
        <v>0</v>
      </c>
      <c r="J169" s="1163">
        <f t="shared" si="205"/>
        <v>0</v>
      </c>
      <c r="K169" s="1163">
        <f t="shared" si="205"/>
        <v>0</v>
      </c>
      <c r="L169" s="1163">
        <f t="shared" si="205"/>
        <v>0</v>
      </c>
      <c r="M169" s="1163">
        <f t="shared" si="205"/>
        <v>0</v>
      </c>
      <c r="N169" s="1163">
        <f t="shared" si="205"/>
        <v>0</v>
      </c>
      <c r="O169" s="1163">
        <f t="shared" si="205"/>
        <v>0</v>
      </c>
      <c r="P169" s="1163">
        <f t="shared" si="205"/>
        <v>0</v>
      </c>
      <c r="Q169" s="1163">
        <f t="shared" si="203"/>
        <v>0</v>
      </c>
      <c r="R169" s="1163">
        <f t="shared" si="203"/>
        <v>0</v>
      </c>
      <c r="S169" s="1163">
        <f t="shared" si="203"/>
        <v>0</v>
      </c>
      <c r="T169" s="1163">
        <f t="shared" si="203"/>
        <v>0</v>
      </c>
      <c r="U169" s="1163">
        <f t="shared" si="203"/>
        <v>0</v>
      </c>
      <c r="V169" s="1163">
        <f t="shared" si="204"/>
        <v>0</v>
      </c>
      <c r="W169" s="1163">
        <f t="shared" si="204"/>
        <v>0</v>
      </c>
    </row>
    <row r="170" spans="1:23" hidden="1">
      <c r="A170" s="409" t="str">
        <f>+Gastos!A189</f>
        <v>107A</v>
      </c>
      <c r="B170" s="1182" t="str">
        <f>+Gastos!C189</f>
        <v xml:space="preserve">       Educación</v>
      </c>
      <c r="C170" s="1163"/>
      <c r="D170" s="1163"/>
      <c r="E170" s="1163"/>
      <c r="F170" s="1163">
        <v>6500</v>
      </c>
      <c r="G170" s="1163">
        <f t="shared" ref="G170:P170" si="206">+F170*1.04</f>
        <v>6760</v>
      </c>
      <c r="H170" s="1163"/>
      <c r="I170" s="1163">
        <f t="shared" si="206"/>
        <v>0</v>
      </c>
      <c r="J170" s="1163">
        <f t="shared" si="206"/>
        <v>0</v>
      </c>
      <c r="K170" s="1163">
        <f t="shared" si="206"/>
        <v>0</v>
      </c>
      <c r="L170" s="1163">
        <f t="shared" si="206"/>
        <v>0</v>
      </c>
      <c r="M170" s="1163">
        <f t="shared" si="206"/>
        <v>0</v>
      </c>
      <c r="N170" s="1163">
        <f t="shared" si="206"/>
        <v>0</v>
      </c>
      <c r="O170" s="1163">
        <f t="shared" si="206"/>
        <v>0</v>
      </c>
      <c r="P170" s="1163">
        <f t="shared" si="206"/>
        <v>0</v>
      </c>
      <c r="Q170" s="1163">
        <f t="shared" si="203"/>
        <v>0</v>
      </c>
      <c r="R170" s="1163">
        <f t="shared" si="203"/>
        <v>0</v>
      </c>
      <c r="S170" s="1163">
        <f t="shared" si="203"/>
        <v>0</v>
      </c>
      <c r="T170" s="1163">
        <f t="shared" si="203"/>
        <v>0</v>
      </c>
      <c r="U170" s="1163">
        <f t="shared" si="203"/>
        <v>0</v>
      </c>
      <c r="V170" s="1163">
        <f t="shared" si="204"/>
        <v>0</v>
      </c>
      <c r="W170" s="1163">
        <f t="shared" si="204"/>
        <v>0</v>
      </c>
    </row>
    <row r="171" spans="1:23" hidden="1">
      <c r="A171" s="409" t="str">
        <f>+Gastos!A190</f>
        <v>108A</v>
      </c>
      <c r="B171" s="1182" t="str">
        <f>+Gastos!C190</f>
        <v xml:space="preserve">       Educación Física, Deporte y Recreación</v>
      </c>
      <c r="C171" s="1163"/>
      <c r="D171" s="1163"/>
      <c r="E171" s="1163"/>
      <c r="F171" s="1163">
        <f>9490+5000</f>
        <v>14490</v>
      </c>
      <c r="G171" s="1163">
        <f t="shared" ref="G171:P171" si="207">+F171*1.04</f>
        <v>15069.6</v>
      </c>
      <c r="H171" s="1163"/>
      <c r="I171" s="1163">
        <f t="shared" si="207"/>
        <v>0</v>
      </c>
      <c r="J171" s="1163">
        <f t="shared" si="207"/>
        <v>0</v>
      </c>
      <c r="K171" s="1163">
        <f t="shared" si="207"/>
        <v>0</v>
      </c>
      <c r="L171" s="1163">
        <f t="shared" si="207"/>
        <v>0</v>
      </c>
      <c r="M171" s="1163">
        <f t="shared" si="207"/>
        <v>0</v>
      </c>
      <c r="N171" s="1163">
        <f t="shared" si="207"/>
        <v>0</v>
      </c>
      <c r="O171" s="1163">
        <f t="shared" si="207"/>
        <v>0</v>
      </c>
      <c r="P171" s="1163">
        <f t="shared" si="207"/>
        <v>0</v>
      </c>
      <c r="Q171" s="1163">
        <f t="shared" si="203"/>
        <v>0</v>
      </c>
      <c r="R171" s="1163">
        <f t="shared" si="203"/>
        <v>0</v>
      </c>
      <c r="S171" s="1163">
        <f t="shared" si="203"/>
        <v>0</v>
      </c>
      <c r="T171" s="1163">
        <f t="shared" si="203"/>
        <v>0</v>
      </c>
      <c r="U171" s="1163">
        <f t="shared" si="203"/>
        <v>0</v>
      </c>
      <c r="V171" s="1163">
        <f t="shared" si="204"/>
        <v>0</v>
      </c>
      <c r="W171" s="1163">
        <f t="shared" si="204"/>
        <v>0</v>
      </c>
    </row>
    <row r="172" spans="1:23" hidden="1">
      <c r="A172" s="409" t="str">
        <f>+Gastos!A191</f>
        <v>109A</v>
      </c>
      <c r="B172" s="1182" t="str">
        <f>+Gastos!C191</f>
        <v xml:space="preserve">       Salud</v>
      </c>
      <c r="C172" s="1163"/>
      <c r="D172" s="1163"/>
      <c r="E172" s="1163"/>
      <c r="F172" s="1163">
        <v>0</v>
      </c>
      <c r="G172" s="1163">
        <f t="shared" ref="G172:P172" si="208">+F172*1.04</f>
        <v>0</v>
      </c>
      <c r="H172" s="1163">
        <v>0</v>
      </c>
      <c r="I172" s="1163">
        <f t="shared" si="208"/>
        <v>0</v>
      </c>
      <c r="J172" s="1163">
        <f t="shared" si="208"/>
        <v>0</v>
      </c>
      <c r="K172" s="1163">
        <f t="shared" si="208"/>
        <v>0</v>
      </c>
      <c r="L172" s="1163">
        <f t="shared" si="208"/>
        <v>0</v>
      </c>
      <c r="M172" s="1163">
        <f t="shared" si="208"/>
        <v>0</v>
      </c>
      <c r="N172" s="1163">
        <f t="shared" si="208"/>
        <v>0</v>
      </c>
      <c r="O172" s="1163">
        <f t="shared" si="208"/>
        <v>0</v>
      </c>
      <c r="P172" s="1163">
        <f t="shared" si="208"/>
        <v>0</v>
      </c>
      <c r="Q172" s="1163">
        <f t="shared" si="203"/>
        <v>0</v>
      </c>
      <c r="R172" s="1163">
        <f t="shared" si="203"/>
        <v>0</v>
      </c>
      <c r="S172" s="1163">
        <f t="shared" si="203"/>
        <v>0</v>
      </c>
      <c r="T172" s="1163">
        <f t="shared" si="203"/>
        <v>0</v>
      </c>
      <c r="U172" s="1163">
        <f t="shared" si="203"/>
        <v>0</v>
      </c>
      <c r="V172" s="1163">
        <f t="shared" si="204"/>
        <v>0</v>
      </c>
      <c r="W172" s="1163">
        <f t="shared" si="204"/>
        <v>0</v>
      </c>
    </row>
    <row r="173" spans="1:23" hidden="1">
      <c r="A173" s="409" t="str">
        <f>+Gastos!A192</f>
        <v>110A</v>
      </c>
      <c r="B173" s="1182" t="str">
        <f>+Gastos!C192</f>
        <v xml:space="preserve">       Cultura</v>
      </c>
      <c r="C173" s="1163"/>
      <c r="D173" s="1163"/>
      <c r="E173" s="1163"/>
      <c r="F173" s="1163">
        <f>9731+38540</f>
        <v>48271</v>
      </c>
      <c r="G173" s="1163">
        <f t="shared" ref="G173:P173" si="209">+F173*1.04</f>
        <v>50201.840000000004</v>
      </c>
      <c r="H173" s="1163"/>
      <c r="I173" s="1163">
        <f t="shared" si="209"/>
        <v>0</v>
      </c>
      <c r="J173" s="1163">
        <f t="shared" si="209"/>
        <v>0</v>
      </c>
      <c r="K173" s="1163">
        <f t="shared" si="209"/>
        <v>0</v>
      </c>
      <c r="L173" s="1163">
        <f t="shared" si="209"/>
        <v>0</v>
      </c>
      <c r="M173" s="1163">
        <f t="shared" si="209"/>
        <v>0</v>
      </c>
      <c r="N173" s="1163">
        <f t="shared" si="209"/>
        <v>0</v>
      </c>
      <c r="O173" s="1163">
        <f t="shared" si="209"/>
        <v>0</v>
      </c>
      <c r="P173" s="1163">
        <f t="shared" si="209"/>
        <v>0</v>
      </c>
      <c r="Q173" s="1163">
        <f t="shared" si="203"/>
        <v>0</v>
      </c>
      <c r="R173" s="1163">
        <f t="shared" si="203"/>
        <v>0</v>
      </c>
      <c r="S173" s="1163">
        <f t="shared" si="203"/>
        <v>0</v>
      </c>
      <c r="T173" s="1163">
        <f t="shared" si="203"/>
        <v>0</v>
      </c>
      <c r="U173" s="1163">
        <f t="shared" si="203"/>
        <v>0</v>
      </c>
      <c r="V173" s="1163">
        <f t="shared" si="204"/>
        <v>0</v>
      </c>
      <c r="W173" s="1163">
        <f t="shared" si="204"/>
        <v>0</v>
      </c>
    </row>
    <row r="174" spans="1:23" hidden="1">
      <c r="A174" s="409" t="str">
        <f>+Gastos!A193</f>
        <v>111A</v>
      </c>
      <c r="B174" s="1182" t="str">
        <f>+Gastos!C193</f>
        <v xml:space="preserve">       Sector Energético</v>
      </c>
      <c r="C174" s="1163"/>
      <c r="D174" s="1163"/>
      <c r="E174" s="1163"/>
      <c r="F174" s="1163">
        <f>9468+10000</f>
        <v>19468</v>
      </c>
      <c r="G174" s="1163">
        <f t="shared" ref="G174:P174" si="210">+F174*1.04</f>
        <v>20246.72</v>
      </c>
      <c r="H174" s="1163"/>
      <c r="I174" s="1163">
        <f t="shared" si="210"/>
        <v>0</v>
      </c>
      <c r="J174" s="1163">
        <f t="shared" si="210"/>
        <v>0</v>
      </c>
      <c r="K174" s="1163">
        <f t="shared" si="210"/>
        <v>0</v>
      </c>
      <c r="L174" s="1163">
        <f t="shared" si="210"/>
        <v>0</v>
      </c>
      <c r="M174" s="1163">
        <f t="shared" si="210"/>
        <v>0</v>
      </c>
      <c r="N174" s="1163">
        <f t="shared" si="210"/>
        <v>0</v>
      </c>
      <c r="O174" s="1163">
        <f t="shared" si="210"/>
        <v>0</v>
      </c>
      <c r="P174" s="1163">
        <f t="shared" si="210"/>
        <v>0</v>
      </c>
      <c r="Q174" s="1163">
        <f t="shared" si="203"/>
        <v>0</v>
      </c>
      <c r="R174" s="1163">
        <f t="shared" si="203"/>
        <v>0</v>
      </c>
      <c r="S174" s="1163">
        <f t="shared" si="203"/>
        <v>0</v>
      </c>
      <c r="T174" s="1163">
        <f t="shared" si="203"/>
        <v>0</v>
      </c>
      <c r="U174" s="1163">
        <f t="shared" si="203"/>
        <v>0</v>
      </c>
      <c r="V174" s="1163">
        <f t="shared" si="204"/>
        <v>0</v>
      </c>
      <c r="W174" s="1163">
        <f t="shared" si="204"/>
        <v>0</v>
      </c>
    </row>
    <row r="175" spans="1:23" hidden="1">
      <c r="A175" s="409" t="str">
        <f>+Gastos!A194</f>
        <v>112A</v>
      </c>
      <c r="B175" s="1182" t="str">
        <f>+Gastos!C194</f>
        <v xml:space="preserve">       Desarrollo Agropecuario y Minero</v>
      </c>
      <c r="C175" s="1163"/>
      <c r="D175" s="1163"/>
      <c r="E175" s="1163"/>
      <c r="F175" s="1163">
        <v>0</v>
      </c>
      <c r="G175" s="1163">
        <f t="shared" ref="G175:P175" si="211">+F175*1.04</f>
        <v>0</v>
      </c>
      <c r="H175" s="1163">
        <v>0</v>
      </c>
      <c r="I175" s="1163">
        <f t="shared" si="211"/>
        <v>0</v>
      </c>
      <c r="J175" s="1163">
        <f t="shared" si="211"/>
        <v>0</v>
      </c>
      <c r="K175" s="1163">
        <f t="shared" si="211"/>
        <v>0</v>
      </c>
      <c r="L175" s="1163">
        <f t="shared" si="211"/>
        <v>0</v>
      </c>
      <c r="M175" s="1163">
        <f t="shared" si="211"/>
        <v>0</v>
      </c>
      <c r="N175" s="1163">
        <f t="shared" si="211"/>
        <v>0</v>
      </c>
      <c r="O175" s="1163">
        <f t="shared" si="211"/>
        <v>0</v>
      </c>
      <c r="P175" s="1163">
        <f t="shared" si="211"/>
        <v>0</v>
      </c>
      <c r="Q175" s="1163">
        <f t="shared" si="203"/>
        <v>0</v>
      </c>
      <c r="R175" s="1163">
        <f t="shared" si="203"/>
        <v>0</v>
      </c>
      <c r="S175" s="1163">
        <f t="shared" si="203"/>
        <v>0</v>
      </c>
      <c r="T175" s="1163">
        <f t="shared" si="203"/>
        <v>0</v>
      </c>
      <c r="U175" s="1163">
        <f t="shared" si="203"/>
        <v>0</v>
      </c>
      <c r="V175" s="1163">
        <f t="shared" si="204"/>
        <v>0</v>
      </c>
      <c r="W175" s="1163">
        <f t="shared" si="204"/>
        <v>0</v>
      </c>
    </row>
    <row r="176" spans="1:23" hidden="1">
      <c r="A176" s="409" t="str">
        <f>+Gastos!A195</f>
        <v>113A</v>
      </c>
      <c r="B176" s="1182" t="str">
        <f>+Gastos!C195</f>
        <v xml:space="preserve">       Infraestructura Urbana</v>
      </c>
      <c r="C176" s="1163"/>
      <c r="D176" s="1163"/>
      <c r="E176" s="1163"/>
      <c r="F176" s="1163">
        <v>0</v>
      </c>
      <c r="G176" s="1163">
        <f t="shared" ref="G176:P176" si="212">+F176*1.04</f>
        <v>0</v>
      </c>
      <c r="H176" s="1163">
        <v>0</v>
      </c>
      <c r="I176" s="1163">
        <f t="shared" si="212"/>
        <v>0</v>
      </c>
      <c r="J176" s="1163">
        <f t="shared" si="212"/>
        <v>0</v>
      </c>
      <c r="K176" s="1163">
        <f t="shared" si="212"/>
        <v>0</v>
      </c>
      <c r="L176" s="1163">
        <f t="shared" si="212"/>
        <v>0</v>
      </c>
      <c r="M176" s="1163">
        <f t="shared" si="212"/>
        <v>0</v>
      </c>
      <c r="N176" s="1163">
        <f t="shared" si="212"/>
        <v>0</v>
      </c>
      <c r="O176" s="1163">
        <f t="shared" si="212"/>
        <v>0</v>
      </c>
      <c r="P176" s="1163">
        <f t="shared" si="212"/>
        <v>0</v>
      </c>
      <c r="Q176" s="1163">
        <f t="shared" si="203"/>
        <v>0</v>
      </c>
      <c r="R176" s="1163">
        <f t="shared" si="203"/>
        <v>0</v>
      </c>
      <c r="S176" s="1163">
        <f t="shared" si="203"/>
        <v>0</v>
      </c>
      <c r="T176" s="1163">
        <f t="shared" si="203"/>
        <v>0</v>
      </c>
      <c r="U176" s="1163">
        <f t="shared" si="203"/>
        <v>0</v>
      </c>
      <c r="V176" s="1163">
        <f t="shared" si="204"/>
        <v>0</v>
      </c>
      <c r="W176" s="1163">
        <f t="shared" si="204"/>
        <v>0</v>
      </c>
    </row>
    <row r="177" spans="1:23" hidden="1">
      <c r="A177" s="409" t="str">
        <f>+Gastos!A196</f>
        <v>114A</v>
      </c>
      <c r="B177" s="1182" t="str">
        <f>+Gastos!C196</f>
        <v xml:space="preserve">       Desarrollo de la comunidad</v>
      </c>
      <c r="C177" s="1163"/>
      <c r="D177" s="1163"/>
      <c r="E177" s="1163"/>
      <c r="F177" s="1163">
        <v>0</v>
      </c>
      <c r="G177" s="1163">
        <f t="shared" ref="G177:P177" si="213">+F177*1.04</f>
        <v>0</v>
      </c>
      <c r="H177" s="1163">
        <v>0</v>
      </c>
      <c r="I177" s="1163">
        <f t="shared" si="213"/>
        <v>0</v>
      </c>
      <c r="J177" s="1163">
        <f t="shared" si="213"/>
        <v>0</v>
      </c>
      <c r="K177" s="1163">
        <f t="shared" si="213"/>
        <v>0</v>
      </c>
      <c r="L177" s="1163">
        <f t="shared" si="213"/>
        <v>0</v>
      </c>
      <c r="M177" s="1163">
        <f t="shared" si="213"/>
        <v>0</v>
      </c>
      <c r="N177" s="1163">
        <f t="shared" si="213"/>
        <v>0</v>
      </c>
      <c r="O177" s="1163">
        <f t="shared" si="213"/>
        <v>0</v>
      </c>
      <c r="P177" s="1163">
        <f t="shared" si="213"/>
        <v>0</v>
      </c>
      <c r="Q177" s="1163">
        <f t="shared" si="203"/>
        <v>0</v>
      </c>
      <c r="R177" s="1163">
        <f t="shared" si="203"/>
        <v>0</v>
      </c>
      <c r="S177" s="1163">
        <f t="shared" si="203"/>
        <v>0</v>
      </c>
      <c r="T177" s="1163">
        <f t="shared" si="203"/>
        <v>0</v>
      </c>
      <c r="U177" s="1163">
        <f t="shared" si="203"/>
        <v>0</v>
      </c>
      <c r="V177" s="1163">
        <f t="shared" si="204"/>
        <v>0</v>
      </c>
      <c r="W177" s="1163">
        <f t="shared" si="204"/>
        <v>0</v>
      </c>
    </row>
    <row r="178" spans="1:23" hidden="1">
      <c r="A178" s="409" t="str">
        <f>+Gastos!A197</f>
        <v>115A</v>
      </c>
      <c r="B178" s="1182" t="str">
        <f>+Gastos!C197</f>
        <v xml:space="preserve">       Justicia, defensa y seguridad</v>
      </c>
      <c r="C178" s="1163"/>
      <c r="D178" s="1163"/>
      <c r="E178" s="1163"/>
      <c r="F178" s="1163">
        <v>0</v>
      </c>
      <c r="G178" s="1163">
        <f t="shared" ref="G178:P178" si="214">+F178*1.04</f>
        <v>0</v>
      </c>
      <c r="H178" s="1163">
        <v>0</v>
      </c>
      <c r="I178" s="1163">
        <f t="shared" si="214"/>
        <v>0</v>
      </c>
      <c r="J178" s="1163">
        <f t="shared" si="214"/>
        <v>0</v>
      </c>
      <c r="K178" s="1163">
        <f t="shared" si="214"/>
        <v>0</v>
      </c>
      <c r="L178" s="1163">
        <f t="shared" si="214"/>
        <v>0</v>
      </c>
      <c r="M178" s="1163">
        <f t="shared" si="214"/>
        <v>0</v>
      </c>
      <c r="N178" s="1163">
        <f t="shared" si="214"/>
        <v>0</v>
      </c>
      <c r="O178" s="1163">
        <f t="shared" si="214"/>
        <v>0</v>
      </c>
      <c r="P178" s="1163">
        <f t="shared" si="214"/>
        <v>0</v>
      </c>
      <c r="Q178" s="1163">
        <f t="shared" si="203"/>
        <v>0</v>
      </c>
      <c r="R178" s="1163">
        <f t="shared" si="203"/>
        <v>0</v>
      </c>
      <c r="S178" s="1163">
        <f t="shared" si="203"/>
        <v>0</v>
      </c>
      <c r="T178" s="1163">
        <f t="shared" si="203"/>
        <v>0</v>
      </c>
      <c r="U178" s="1163">
        <f t="shared" si="203"/>
        <v>0</v>
      </c>
      <c r="V178" s="1163">
        <f t="shared" si="204"/>
        <v>0</v>
      </c>
      <c r="W178" s="1163">
        <f t="shared" si="204"/>
        <v>0</v>
      </c>
    </row>
    <row r="179" spans="1:23" hidden="1">
      <c r="A179" s="409" t="str">
        <f>+Gastos!A198</f>
        <v>116A</v>
      </c>
      <c r="B179" s="1182" t="str">
        <f>+Gastos!C198</f>
        <v xml:space="preserve">       Desarrollo Institucional</v>
      </c>
      <c r="C179" s="1163"/>
      <c r="D179" s="1163"/>
      <c r="E179" s="1163"/>
      <c r="F179" s="1163">
        <v>0</v>
      </c>
      <c r="G179" s="1163">
        <f t="shared" ref="G179:P179" si="215">+F179*1.04</f>
        <v>0</v>
      </c>
      <c r="H179" s="1163">
        <v>0</v>
      </c>
      <c r="I179" s="1163">
        <f t="shared" si="215"/>
        <v>0</v>
      </c>
      <c r="J179" s="1163">
        <f t="shared" si="215"/>
        <v>0</v>
      </c>
      <c r="K179" s="1163">
        <f t="shared" si="215"/>
        <v>0</v>
      </c>
      <c r="L179" s="1163">
        <f t="shared" si="215"/>
        <v>0</v>
      </c>
      <c r="M179" s="1163">
        <f t="shared" si="215"/>
        <v>0</v>
      </c>
      <c r="N179" s="1163">
        <f t="shared" si="215"/>
        <v>0</v>
      </c>
      <c r="O179" s="1163">
        <f t="shared" si="215"/>
        <v>0</v>
      </c>
      <c r="P179" s="1163">
        <f t="shared" si="215"/>
        <v>0</v>
      </c>
      <c r="Q179" s="1163">
        <f t="shared" si="203"/>
        <v>0</v>
      </c>
      <c r="R179" s="1163">
        <f t="shared" si="203"/>
        <v>0</v>
      </c>
      <c r="S179" s="1163">
        <f t="shared" si="203"/>
        <v>0</v>
      </c>
      <c r="T179" s="1163">
        <f t="shared" si="203"/>
        <v>0</v>
      </c>
      <c r="U179" s="1163">
        <f t="shared" si="203"/>
        <v>0</v>
      </c>
      <c r="V179" s="1163">
        <f t="shared" si="204"/>
        <v>0</v>
      </c>
      <c r="W179" s="1163">
        <f t="shared" si="204"/>
        <v>0</v>
      </c>
    </row>
    <row r="180" spans="1:23" hidden="1">
      <c r="A180" s="409" t="str">
        <f>+Gastos!A199</f>
        <v>117A</v>
      </c>
      <c r="B180" s="1182" t="str">
        <f>+Gastos!C199</f>
        <v xml:space="preserve">       Medio Ambiente</v>
      </c>
      <c r="C180" s="1163"/>
      <c r="D180" s="1163"/>
      <c r="E180" s="1163"/>
      <c r="F180" s="1163">
        <v>10925</v>
      </c>
      <c r="G180" s="1163">
        <f t="shared" ref="G180:P180" si="216">+F180*1.04</f>
        <v>11362</v>
      </c>
      <c r="H180" s="1163"/>
      <c r="I180" s="1163">
        <f t="shared" si="216"/>
        <v>0</v>
      </c>
      <c r="J180" s="1163">
        <f t="shared" si="216"/>
        <v>0</v>
      </c>
      <c r="K180" s="1163">
        <f t="shared" si="216"/>
        <v>0</v>
      </c>
      <c r="L180" s="1163">
        <f t="shared" si="216"/>
        <v>0</v>
      </c>
      <c r="M180" s="1163">
        <f t="shared" si="216"/>
        <v>0</v>
      </c>
      <c r="N180" s="1163">
        <f t="shared" si="216"/>
        <v>0</v>
      </c>
      <c r="O180" s="1163">
        <f t="shared" si="216"/>
        <v>0</v>
      </c>
      <c r="P180" s="1163">
        <f t="shared" si="216"/>
        <v>0</v>
      </c>
      <c r="Q180" s="1163">
        <f t="shared" si="203"/>
        <v>0</v>
      </c>
      <c r="R180" s="1163">
        <f t="shared" si="203"/>
        <v>0</v>
      </c>
      <c r="S180" s="1163">
        <f t="shared" si="203"/>
        <v>0</v>
      </c>
      <c r="T180" s="1163">
        <f t="shared" si="203"/>
        <v>0</v>
      </c>
      <c r="U180" s="1163">
        <f t="shared" si="203"/>
        <v>0</v>
      </c>
      <c r="V180" s="1163">
        <f t="shared" si="204"/>
        <v>0</v>
      </c>
      <c r="W180" s="1163">
        <f t="shared" si="204"/>
        <v>0</v>
      </c>
    </row>
    <row r="181" spans="1:23" hidden="1">
      <c r="A181" s="409" t="str">
        <f>+Gastos!A200</f>
        <v>228</v>
      </c>
      <c r="B181" s="1180" t="str">
        <f>+Gastos!C200</f>
        <v xml:space="preserve">  DÉFICIT FISCAL (POR INVERSIÓN)</v>
      </c>
      <c r="C181" s="1165">
        <f>+'Pasivo a Cancelar y Deuda'!C14</f>
        <v>0</v>
      </c>
      <c r="D181" s="1165">
        <f>+'Pasivo a Cancelar y Deuda'!D14</f>
        <v>0</v>
      </c>
      <c r="E181" s="1165">
        <f>+'Pasivo a Cancelar y Deuda'!E14</f>
        <v>0</v>
      </c>
      <c r="F181" s="1165">
        <f>+'Pasivo a Cancelar y Deuda'!F14</f>
        <v>0</v>
      </c>
      <c r="G181" s="1165">
        <f>+'Pasivo a Cancelar y Deuda'!G14</f>
        <v>0</v>
      </c>
      <c r="H181" s="1165">
        <v>0</v>
      </c>
      <c r="I181" s="1165">
        <f>+'Pasivo a Cancelar y Deuda'!I14</f>
        <v>0</v>
      </c>
      <c r="J181" s="1165">
        <f>+'Pasivo a Cancelar y Deuda'!J14</f>
        <v>0</v>
      </c>
      <c r="K181" s="1165">
        <f>+'Pasivo a Cancelar y Deuda'!K14</f>
        <v>0</v>
      </c>
      <c r="L181" s="1165">
        <f>+'Pasivo a Cancelar y Deuda'!L14</f>
        <v>0</v>
      </c>
      <c r="M181" s="1165">
        <f>+'Pasivo a Cancelar y Deuda'!M14</f>
        <v>0</v>
      </c>
      <c r="N181" s="1165">
        <f>+'Pasivo a Cancelar y Deuda'!N14</f>
        <v>0</v>
      </c>
      <c r="O181" s="1165">
        <f>+'Pasivo a Cancelar y Deuda'!O14</f>
        <v>0</v>
      </c>
      <c r="P181" s="1165">
        <f>+'Pasivo a Cancelar y Deuda'!P14</f>
        <v>0</v>
      </c>
      <c r="Q181" s="1165">
        <f>+'Pasivo a Cancelar y Deuda'!Q14</f>
        <v>0</v>
      </c>
      <c r="R181" s="1165">
        <f>+'Pasivo a Cancelar y Deuda'!R14</f>
        <v>0</v>
      </c>
      <c r="S181" s="1165">
        <f>+'Pasivo a Cancelar y Deuda'!S14</f>
        <v>0</v>
      </c>
      <c r="T181" s="1165">
        <f>+'Pasivo a Cancelar y Deuda'!T14</f>
        <v>0</v>
      </c>
      <c r="U181" s="1165">
        <f>+'Pasivo a Cancelar y Deuda'!U14</f>
        <v>0</v>
      </c>
      <c r="V181" s="1165">
        <f>+'Pasivo a Cancelar y Deuda'!V14</f>
        <v>0</v>
      </c>
      <c r="W181" s="1165">
        <f>+'Pasivo a Cancelar y Deuda'!W14</f>
        <v>0</v>
      </c>
    </row>
    <row r="182" spans="1:23">
      <c r="A182" s="409" t="str">
        <f>+Gastos!A201</f>
        <v>23</v>
      </c>
      <c r="B182" s="1180" t="str">
        <f>+Gastos!C201</f>
        <v xml:space="preserve"> SERVICIO DE LA DEUDA</v>
      </c>
      <c r="C182" s="1162" t="e">
        <f>+C183+#REF!</f>
        <v>#REF!</v>
      </c>
      <c r="D182" s="1162" t="e">
        <f>+D183+#REF!</f>
        <v>#REF!</v>
      </c>
      <c r="E182" s="1162" t="e">
        <f>+E183+#REF!</f>
        <v>#REF!</v>
      </c>
      <c r="F182" s="1162" t="e">
        <f>+F183+#REF!</f>
        <v>#REF!</v>
      </c>
      <c r="G182" s="1162" t="e">
        <f>+G183+#REF!</f>
        <v>#REF!</v>
      </c>
      <c r="H182" s="1162">
        <v>211000</v>
      </c>
      <c r="I182" s="1162">
        <f>+I183</f>
        <v>201000</v>
      </c>
      <c r="J182" s="1162">
        <f t="shared" ref="J182:W182" si="217">+J183</f>
        <v>257000</v>
      </c>
      <c r="K182" s="1162">
        <f t="shared" si="217"/>
        <v>84000</v>
      </c>
      <c r="L182" s="1162">
        <f t="shared" si="217"/>
        <v>314000</v>
      </c>
      <c r="M182" s="1162">
        <f t="shared" si="217"/>
        <v>75000</v>
      </c>
      <c r="N182" s="1162">
        <f>+N183</f>
        <v>104000</v>
      </c>
      <c r="O182" s="1162">
        <f t="shared" si="217"/>
        <v>53000</v>
      </c>
      <c r="P182" s="1162">
        <f t="shared" si="217"/>
        <v>0</v>
      </c>
      <c r="Q182" s="1162">
        <f t="shared" si="217"/>
        <v>0</v>
      </c>
      <c r="R182" s="1162">
        <f t="shared" si="217"/>
        <v>0</v>
      </c>
      <c r="S182" s="1162">
        <f t="shared" si="217"/>
        <v>0</v>
      </c>
      <c r="T182" s="1162">
        <f t="shared" si="217"/>
        <v>0</v>
      </c>
      <c r="U182" s="1162">
        <f t="shared" si="217"/>
        <v>0</v>
      </c>
      <c r="V182" s="1162">
        <f t="shared" si="217"/>
        <v>0</v>
      </c>
      <c r="W182" s="1162">
        <f t="shared" si="217"/>
        <v>0</v>
      </c>
    </row>
    <row r="183" spans="1:23">
      <c r="A183" s="410" t="str">
        <f>+Gastos!A202</f>
        <v>296A</v>
      </c>
      <c r="B183" s="1180" t="str">
        <f>+Gastos!C202</f>
        <v xml:space="preserve">    Deuda Interna</v>
      </c>
      <c r="C183" s="1162" t="e">
        <f>+C184+C185+#REF!+#REF!</f>
        <v>#REF!</v>
      </c>
      <c r="D183" s="1162" t="e">
        <f>+D184+D185+#REF!+#REF!</f>
        <v>#REF!</v>
      </c>
      <c r="E183" s="1162" t="e">
        <f>+E184+E185+#REF!+#REF!</f>
        <v>#REF!</v>
      </c>
      <c r="F183" s="1162" t="e">
        <f>+F184+F185+#REF!+#REF!</f>
        <v>#REF!</v>
      </c>
      <c r="G183" s="1162" t="e">
        <f>+G184+G185+#REF!+#REF!</f>
        <v>#REF!</v>
      </c>
      <c r="H183" s="1162">
        <v>211000</v>
      </c>
      <c r="I183" s="1162">
        <f>+I184+I185</f>
        <v>201000</v>
      </c>
      <c r="J183" s="1162">
        <f t="shared" ref="J183:P183" si="218">+J184+J185</f>
        <v>257000</v>
      </c>
      <c r="K183" s="1162">
        <f t="shared" si="218"/>
        <v>84000</v>
      </c>
      <c r="L183" s="1162">
        <f t="shared" si="218"/>
        <v>314000</v>
      </c>
      <c r="M183" s="1162">
        <f t="shared" si="218"/>
        <v>75000</v>
      </c>
      <c r="N183" s="1162">
        <f>+N184+N185</f>
        <v>104000</v>
      </c>
      <c r="O183" s="1162">
        <f t="shared" si="218"/>
        <v>53000</v>
      </c>
      <c r="P183" s="1162">
        <f t="shared" si="218"/>
        <v>0</v>
      </c>
      <c r="Q183" s="1162">
        <f t="shared" ref="Q183:V183" si="219">+Q184+Q185</f>
        <v>0</v>
      </c>
      <c r="R183" s="1162">
        <f t="shared" si="219"/>
        <v>0</v>
      </c>
      <c r="S183" s="1162">
        <f t="shared" si="219"/>
        <v>0</v>
      </c>
      <c r="T183" s="1162">
        <f t="shared" si="219"/>
        <v>0</v>
      </c>
      <c r="U183" s="1162">
        <f t="shared" si="219"/>
        <v>0</v>
      </c>
      <c r="V183" s="1162">
        <f t="shared" si="219"/>
        <v>0</v>
      </c>
      <c r="W183" s="1162">
        <f>+W184+W185</f>
        <v>0</v>
      </c>
    </row>
    <row r="184" spans="1:23">
      <c r="A184" s="410" t="str">
        <f>+Gastos!A203</f>
        <v>297A</v>
      </c>
      <c r="B184" s="1182" t="str">
        <f>+Gastos!C203</f>
        <v xml:space="preserve">      Amortización</v>
      </c>
      <c r="C184" s="1163"/>
      <c r="D184" s="1163"/>
      <c r="E184" s="1163"/>
      <c r="F184" s="1163">
        <v>90600</v>
      </c>
      <c r="G184" s="1163">
        <v>117328</v>
      </c>
      <c r="H184" s="1163">
        <v>84000</v>
      </c>
      <c r="I184" s="1163">
        <f>120000+12000</f>
        <v>132000</v>
      </c>
      <c r="J184" s="1163">
        <f>120000+12000+60000</f>
        <v>192000</v>
      </c>
      <c r="K184" s="1163">
        <v>60000</v>
      </c>
      <c r="L184" s="1163">
        <v>281000</v>
      </c>
      <c r="M184" s="1163">
        <f>20965+50000</f>
        <v>70965</v>
      </c>
      <c r="N184" s="1163">
        <v>100000</v>
      </c>
      <c r="O184" s="1163">
        <v>50000</v>
      </c>
      <c r="P184" s="1163">
        <v>0</v>
      </c>
      <c r="Q184" s="1163">
        <f t="shared" ref="Q184:W184" si="220">+P184*1.04</f>
        <v>0</v>
      </c>
      <c r="R184" s="1163">
        <f t="shared" si="220"/>
        <v>0</v>
      </c>
      <c r="S184" s="1163">
        <f t="shared" si="220"/>
        <v>0</v>
      </c>
      <c r="T184" s="1163">
        <f t="shared" si="220"/>
        <v>0</v>
      </c>
      <c r="U184" s="1163">
        <f t="shared" si="220"/>
        <v>0</v>
      </c>
      <c r="V184" s="1163">
        <f t="shared" si="220"/>
        <v>0</v>
      </c>
      <c r="W184" s="1163">
        <f t="shared" si="220"/>
        <v>0</v>
      </c>
    </row>
    <row r="185" spans="1:23">
      <c r="A185" s="410" t="str">
        <f>+Gastos!A204</f>
        <v>298A</v>
      </c>
      <c r="B185" s="1182" t="str">
        <f>+Gastos!C204</f>
        <v xml:space="preserve">      Intereses</v>
      </c>
      <c r="C185" s="1163"/>
      <c r="D185" s="1163"/>
      <c r="E185" s="1163"/>
      <c r="F185" s="1163">
        <v>49000</v>
      </c>
      <c r="G185" s="1163">
        <v>49000</v>
      </c>
      <c r="H185" s="1163">
        <v>127000</v>
      </c>
      <c r="I185" s="1163">
        <f>60000+9000</f>
        <v>69000</v>
      </c>
      <c r="J185" s="1163">
        <f>45000+20000</f>
        <v>65000</v>
      </c>
      <c r="K185" s="1163">
        <f>9000+15000</f>
        <v>24000</v>
      </c>
      <c r="L185" s="1163">
        <v>33000</v>
      </c>
      <c r="M185" s="1163">
        <f>1035+3000</f>
        <v>4035</v>
      </c>
      <c r="N185" s="1163">
        <v>4000</v>
      </c>
      <c r="O185" s="1163">
        <v>3000</v>
      </c>
      <c r="P185" s="1163">
        <v>0</v>
      </c>
      <c r="Q185" s="1163">
        <v>0</v>
      </c>
      <c r="R185" s="1163">
        <v>0</v>
      </c>
      <c r="S185" s="1163">
        <v>0</v>
      </c>
      <c r="T185" s="1163">
        <v>0</v>
      </c>
      <c r="U185" s="1163">
        <v>0</v>
      </c>
      <c r="V185" s="1163">
        <v>0</v>
      </c>
      <c r="W185" s="1163">
        <v>0</v>
      </c>
    </row>
    <row r="186" spans="1:23" ht="1.5" customHeight="1">
      <c r="A186" s="1161"/>
      <c r="B186" s="1161"/>
      <c r="C186" s="1166"/>
      <c r="D186" s="1166"/>
      <c r="E186" s="1166"/>
      <c r="F186" s="1166"/>
      <c r="G186" s="1166"/>
      <c r="H186" s="1166"/>
      <c r="I186" s="1166"/>
      <c r="J186" s="1166"/>
      <c r="K186" s="1166"/>
      <c r="L186" s="1166"/>
      <c r="M186" s="1166"/>
      <c r="N186" s="1166"/>
      <c r="O186" s="1166"/>
      <c r="P186" s="1166"/>
      <c r="Q186" s="1166"/>
      <c r="R186" s="1166"/>
      <c r="S186" s="1166"/>
      <c r="T186" s="1166"/>
      <c r="U186" s="1166"/>
      <c r="V186" s="1166"/>
      <c r="W186" s="1166"/>
    </row>
    <row r="187" spans="1:23" ht="20.25" customHeight="1">
      <c r="A187" s="1167" t="s">
        <v>37</v>
      </c>
      <c r="B187" s="1183" t="s">
        <v>38</v>
      </c>
      <c r="C187" s="1169">
        <f>SUM(C188:C190)</f>
        <v>0</v>
      </c>
      <c r="D187" s="1169">
        <f t="shared" ref="D187:P187" si="221">SUM(D188:D190)</f>
        <v>0</v>
      </c>
      <c r="E187" s="1169">
        <f t="shared" si="221"/>
        <v>0</v>
      </c>
      <c r="F187" s="1169">
        <f t="shared" si="221"/>
        <v>131673</v>
      </c>
      <c r="G187" s="1169">
        <f>SUM(G188:G190)</f>
        <v>143138</v>
      </c>
      <c r="H187" s="1169">
        <v>129470</v>
      </c>
      <c r="I187" s="1169">
        <f t="shared" si="221"/>
        <v>157103</v>
      </c>
      <c r="J187" s="1169">
        <f t="shared" si="221"/>
        <v>163387.12</v>
      </c>
      <c r="K187" s="1169">
        <f>SUM(K188:K190)</f>
        <v>169922.6048</v>
      </c>
      <c r="L187" s="1169">
        <f t="shared" si="221"/>
        <v>195178.02752</v>
      </c>
      <c r="M187" s="1169">
        <f>SUM(M188:M190)</f>
        <v>202985.1486208</v>
      </c>
      <c r="N187" s="1169">
        <f t="shared" si="221"/>
        <v>211104.55456563202</v>
      </c>
      <c r="O187" s="1169">
        <f t="shared" si="221"/>
        <v>219548.7367482573</v>
      </c>
      <c r="P187" s="1169">
        <f t="shared" si="221"/>
        <v>228330.68621818762</v>
      </c>
      <c r="Q187" s="1169">
        <f t="shared" ref="Q187:V187" si="222">SUM(Q188:Q190)</f>
        <v>237463.91366691515</v>
      </c>
      <c r="R187" s="1169">
        <f t="shared" si="222"/>
        <v>246962.47021359176</v>
      </c>
      <c r="S187" s="1169">
        <f t="shared" si="222"/>
        <v>256840.96902213548</v>
      </c>
      <c r="T187" s="1169">
        <f t="shared" si="222"/>
        <v>267114.60778302094</v>
      </c>
      <c r="U187" s="1169">
        <f t="shared" si="222"/>
        <v>277799.19209434174</v>
      </c>
      <c r="V187" s="1169">
        <f t="shared" si="222"/>
        <v>288911.15977811546</v>
      </c>
      <c r="W187" s="1169">
        <f>SUM(W188:W190)</f>
        <v>300467.60616924008</v>
      </c>
    </row>
    <row r="188" spans="1:23">
      <c r="A188" s="1170" t="s">
        <v>39</v>
      </c>
      <c r="B188" s="1266" t="s">
        <v>40</v>
      </c>
      <c r="C188" s="1163"/>
      <c r="D188" s="1163"/>
      <c r="E188" s="1163"/>
      <c r="F188" s="1163">
        <v>87342</v>
      </c>
      <c r="G188" s="1163">
        <v>99313</v>
      </c>
      <c r="H188" s="1163">
        <v>81680</v>
      </c>
      <c r="I188" s="1163">
        <v>92048</v>
      </c>
      <c r="J188" s="1163">
        <f t="shared" ref="J188:P188" si="223">+I188*1.04</f>
        <v>95729.919999999998</v>
      </c>
      <c r="K188" s="1163">
        <f t="shared" si="223"/>
        <v>99559.116800000003</v>
      </c>
      <c r="L188" s="1163">
        <v>122000</v>
      </c>
      <c r="M188" s="1163">
        <f t="shared" si="223"/>
        <v>126880</v>
      </c>
      <c r="N188" s="1163">
        <f t="shared" si="223"/>
        <v>131955.20000000001</v>
      </c>
      <c r="O188" s="1163">
        <f t="shared" si="223"/>
        <v>137233.40800000002</v>
      </c>
      <c r="P188" s="1163">
        <f t="shared" si="223"/>
        <v>142722.74432000003</v>
      </c>
      <c r="Q188" s="1163">
        <f t="shared" ref="Q188:U190" si="224">+P188*1.04</f>
        <v>148431.65409280005</v>
      </c>
      <c r="R188" s="1163">
        <f t="shared" si="224"/>
        <v>154368.92025651206</v>
      </c>
      <c r="S188" s="1163">
        <f t="shared" si="224"/>
        <v>160543.67706677257</v>
      </c>
      <c r="T188" s="1163">
        <f t="shared" si="224"/>
        <v>166965.42414944348</v>
      </c>
      <c r="U188" s="1163">
        <f t="shared" si="224"/>
        <v>173644.04111542122</v>
      </c>
      <c r="V188" s="1163">
        <f t="shared" ref="V188:W190" si="225">+U188*1.04</f>
        <v>180589.80276003809</v>
      </c>
      <c r="W188" s="1163">
        <f t="shared" si="225"/>
        <v>187813.39487043963</v>
      </c>
    </row>
    <row r="189" spans="1:23">
      <c r="A189" s="1171" t="s">
        <v>41</v>
      </c>
      <c r="B189" s="1266" t="s">
        <v>42</v>
      </c>
      <c r="C189" s="1163"/>
      <c r="D189" s="1163"/>
      <c r="E189" s="1163"/>
      <c r="F189" s="1163">
        <v>0</v>
      </c>
      <c r="G189" s="1163">
        <f t="shared" ref="G189:P189" si="226">+F189*1.04</f>
        <v>0</v>
      </c>
      <c r="H189" s="1163">
        <v>0</v>
      </c>
      <c r="I189" s="1163">
        <f t="shared" si="226"/>
        <v>0</v>
      </c>
      <c r="J189" s="1163">
        <f t="shared" si="226"/>
        <v>0</v>
      </c>
      <c r="K189" s="1163">
        <f t="shared" si="226"/>
        <v>0</v>
      </c>
      <c r="L189" s="1163">
        <f t="shared" si="226"/>
        <v>0</v>
      </c>
      <c r="M189" s="1163">
        <f t="shared" si="226"/>
        <v>0</v>
      </c>
      <c r="N189" s="1163">
        <f t="shared" si="226"/>
        <v>0</v>
      </c>
      <c r="O189" s="1163">
        <f t="shared" si="226"/>
        <v>0</v>
      </c>
      <c r="P189" s="1163">
        <f t="shared" si="226"/>
        <v>0</v>
      </c>
      <c r="Q189" s="1163">
        <f t="shared" si="224"/>
        <v>0</v>
      </c>
      <c r="R189" s="1163">
        <f t="shared" si="224"/>
        <v>0</v>
      </c>
      <c r="S189" s="1163">
        <f t="shared" si="224"/>
        <v>0</v>
      </c>
      <c r="T189" s="1163">
        <f t="shared" si="224"/>
        <v>0</v>
      </c>
      <c r="U189" s="1163">
        <f t="shared" si="224"/>
        <v>0</v>
      </c>
      <c r="V189" s="1163">
        <f t="shared" si="225"/>
        <v>0</v>
      </c>
      <c r="W189" s="1163">
        <f t="shared" si="225"/>
        <v>0</v>
      </c>
    </row>
    <row r="190" spans="1:23">
      <c r="A190" s="1172" t="s">
        <v>43</v>
      </c>
      <c r="B190" s="1266" t="s">
        <v>44</v>
      </c>
      <c r="C190" s="1163"/>
      <c r="D190" s="1163"/>
      <c r="E190" s="1163"/>
      <c r="F190" s="1163">
        <v>44331</v>
      </c>
      <c r="G190" s="1163">
        <v>43825</v>
      </c>
      <c r="H190" s="1163">
        <v>47790</v>
      </c>
      <c r="I190" s="1163">
        <v>65055</v>
      </c>
      <c r="J190" s="1163">
        <f t="shared" ref="J190:P190" si="227">+I190*1.04</f>
        <v>67657.2</v>
      </c>
      <c r="K190" s="1163">
        <f t="shared" si="227"/>
        <v>70363.487999999998</v>
      </c>
      <c r="L190" s="1163">
        <f t="shared" si="227"/>
        <v>73178.027520000003</v>
      </c>
      <c r="M190" s="1163">
        <f t="shared" si="227"/>
        <v>76105.148620799999</v>
      </c>
      <c r="N190" s="1163">
        <f t="shared" si="227"/>
        <v>79149.354565632006</v>
      </c>
      <c r="O190" s="1163">
        <f t="shared" si="227"/>
        <v>82315.328748257292</v>
      </c>
      <c r="P190" s="1163">
        <f t="shared" si="227"/>
        <v>85607.941898187593</v>
      </c>
      <c r="Q190" s="1163">
        <f t="shared" si="224"/>
        <v>89032.259574115102</v>
      </c>
      <c r="R190" s="1163">
        <f t="shared" si="224"/>
        <v>92593.549957079711</v>
      </c>
      <c r="S190" s="1163">
        <f t="shared" si="224"/>
        <v>96297.291955362904</v>
      </c>
      <c r="T190" s="1163">
        <f t="shared" si="224"/>
        <v>100149.18363357743</v>
      </c>
      <c r="U190" s="1163">
        <f t="shared" si="224"/>
        <v>104155.15097892053</v>
      </c>
      <c r="V190" s="1163">
        <f t="shared" si="225"/>
        <v>108321.35701807735</v>
      </c>
      <c r="W190" s="1163">
        <f t="shared" si="225"/>
        <v>112654.21129880045</v>
      </c>
    </row>
    <row r="191" spans="1:23" ht="6" hidden="1" customHeight="1" thickBot="1">
      <c r="A191" s="1"/>
      <c r="B191" s="1143"/>
      <c r="C191" s="14"/>
      <c r="D191" s="14"/>
      <c r="E191" s="14"/>
      <c r="F191" s="14"/>
      <c r="G191" s="14"/>
      <c r="H191" s="14"/>
      <c r="I191" s="14"/>
      <c r="J191" s="14"/>
      <c r="K191" s="14"/>
      <c r="L191" s="14"/>
      <c r="M191" s="14"/>
      <c r="N191" s="14"/>
      <c r="O191" s="14"/>
      <c r="P191" s="14"/>
      <c r="Q191" s="14"/>
      <c r="R191" s="14"/>
      <c r="S191" s="14"/>
      <c r="T191" s="14"/>
    </row>
    <row r="192" spans="1:23" ht="13.5" hidden="1" thickBot="1">
      <c r="A192" s="284" t="s">
        <v>31</v>
      </c>
      <c r="B192" s="1161" t="s">
        <v>32</v>
      </c>
      <c r="C192" s="1166" t="e">
        <f>+#REF!</f>
        <v>#REF!</v>
      </c>
      <c r="D192" s="1166" t="e">
        <f>+#REF!</f>
        <v>#REF!</v>
      </c>
      <c r="E192" s="1166" t="e">
        <f>+#REF!</f>
        <v>#REF!</v>
      </c>
      <c r="F192" s="1166" t="e">
        <f>+#REF!</f>
        <v>#REF!</v>
      </c>
      <c r="G192" s="1166" t="e">
        <f>+#REF!</f>
        <v>#REF!</v>
      </c>
      <c r="H192" s="1166" t="s">
        <v>1163</v>
      </c>
      <c r="I192" s="1166" t="e">
        <f>+#REF!</f>
        <v>#REF!</v>
      </c>
      <c r="J192" s="1166" t="e">
        <f>+#REF!</f>
        <v>#REF!</v>
      </c>
      <c r="K192" s="1166" t="e">
        <f>+#REF!</f>
        <v>#REF!</v>
      </c>
      <c r="L192" s="1166" t="e">
        <f>+#REF!</f>
        <v>#REF!</v>
      </c>
      <c r="M192" s="1166" t="e">
        <f>+#REF!</f>
        <v>#REF!</v>
      </c>
      <c r="N192" s="1166" t="e">
        <f>+#REF!</f>
        <v>#REF!</v>
      </c>
      <c r="O192" s="1166" t="e">
        <f>+#REF!</f>
        <v>#REF!</v>
      </c>
      <c r="P192" s="1166" t="e">
        <f>+#REF!</f>
        <v>#REF!</v>
      </c>
      <c r="Q192" s="1281"/>
      <c r="R192" s="1281"/>
      <c r="S192" s="1281"/>
      <c r="T192" s="1281"/>
      <c r="U192" s="894"/>
    </row>
    <row r="193" spans="1:23" hidden="1">
      <c r="A193" s="285"/>
      <c r="B193" s="1161"/>
      <c r="C193" s="1166" t="s">
        <v>45</v>
      </c>
      <c r="D193" s="1166" t="s">
        <v>45</v>
      </c>
      <c r="E193" s="1166" t="s">
        <v>45</v>
      </c>
      <c r="F193" s="1166" t="s">
        <v>45</v>
      </c>
      <c r="G193" s="1166" t="s">
        <v>45</v>
      </c>
      <c r="H193" s="1166" t="s">
        <v>45</v>
      </c>
      <c r="I193" s="1166" t="s">
        <v>45</v>
      </c>
      <c r="J193" s="1166" t="s">
        <v>45</v>
      </c>
      <c r="K193" s="1166" t="s">
        <v>45</v>
      </c>
      <c r="L193" s="1166" t="s">
        <v>45</v>
      </c>
      <c r="M193" s="1166" t="s">
        <v>45</v>
      </c>
      <c r="N193" s="1166" t="s">
        <v>45</v>
      </c>
      <c r="O193" s="1166" t="s">
        <v>45</v>
      </c>
      <c r="P193" s="1166" t="s">
        <v>45</v>
      </c>
      <c r="Q193" s="1281"/>
      <c r="R193" s="1281"/>
      <c r="S193" s="1281"/>
      <c r="T193" s="1281"/>
      <c r="U193" s="886"/>
    </row>
    <row r="194" spans="1:23" ht="13.5" hidden="1" customHeight="1" thickBot="1">
      <c r="A194" s="285"/>
      <c r="B194" s="1161"/>
      <c r="C194" s="1166"/>
      <c r="D194" s="1166"/>
      <c r="E194" s="1166"/>
      <c r="F194" s="1166"/>
      <c r="G194" s="1166"/>
      <c r="H194" s="1166"/>
      <c r="I194" s="1166"/>
      <c r="J194" s="1166"/>
      <c r="K194" s="1166"/>
      <c r="L194" s="1166"/>
      <c r="M194" s="1166"/>
      <c r="N194" s="1166"/>
      <c r="O194" s="1166"/>
      <c r="P194" s="1166"/>
      <c r="Q194" s="1281"/>
      <c r="R194" s="1281"/>
      <c r="S194" s="1281"/>
      <c r="T194" s="1281"/>
      <c r="U194" s="886"/>
    </row>
    <row r="195" spans="1:23" ht="25.5" hidden="1">
      <c r="A195" s="35" t="s">
        <v>46</v>
      </c>
      <c r="B195" s="1183" t="s">
        <v>47</v>
      </c>
      <c r="C195" s="1169">
        <f>SUM(C196:C198)</f>
        <v>0</v>
      </c>
      <c r="D195" s="1169">
        <f t="shared" ref="D195:P195" si="228">SUM(D196:D198)</f>
        <v>0</v>
      </c>
      <c r="E195" s="1169">
        <f t="shared" si="228"/>
        <v>0</v>
      </c>
      <c r="F195" s="1169">
        <f t="shared" si="228"/>
        <v>0</v>
      </c>
      <c r="G195" s="1169">
        <f>SUM(G196:G198)</f>
        <v>0</v>
      </c>
      <c r="H195" s="1169">
        <v>0</v>
      </c>
      <c r="I195" s="1169">
        <f t="shared" si="228"/>
        <v>0</v>
      </c>
      <c r="J195" s="1169">
        <f t="shared" si="228"/>
        <v>0</v>
      </c>
      <c r="K195" s="1169">
        <f>SUM(K196:K198)</f>
        <v>0</v>
      </c>
      <c r="L195" s="1169">
        <f t="shared" si="228"/>
        <v>0</v>
      </c>
      <c r="M195" s="1169">
        <f>SUM(M196:M198)</f>
        <v>0</v>
      </c>
      <c r="N195" s="1169">
        <f t="shared" si="228"/>
        <v>0</v>
      </c>
      <c r="O195" s="1169">
        <f t="shared" si="228"/>
        <v>0</v>
      </c>
      <c r="P195" s="1169">
        <f t="shared" si="228"/>
        <v>0</v>
      </c>
      <c r="Q195" s="1282"/>
      <c r="R195" s="1282"/>
      <c r="S195" s="1282"/>
      <c r="T195" s="1282"/>
      <c r="U195" s="886"/>
    </row>
    <row r="196" spans="1:23" hidden="1">
      <c r="A196" s="22" t="s">
        <v>48</v>
      </c>
      <c r="B196" s="1184" t="s">
        <v>49</v>
      </c>
      <c r="C196" s="1163"/>
      <c r="D196" s="1163"/>
      <c r="E196" s="1163"/>
      <c r="F196" s="1163"/>
      <c r="G196" s="1163"/>
      <c r="H196" s="1163"/>
      <c r="I196" s="1163"/>
      <c r="J196" s="1163"/>
      <c r="K196" s="1163"/>
      <c r="L196" s="1163"/>
      <c r="M196" s="1163"/>
      <c r="N196" s="1163"/>
      <c r="O196" s="1163"/>
      <c r="P196" s="1163"/>
      <c r="Q196" s="395"/>
      <c r="R196" s="395"/>
      <c r="S196" s="395"/>
      <c r="T196" s="395"/>
      <c r="U196" s="886"/>
    </row>
    <row r="197" spans="1:23" hidden="1">
      <c r="A197" s="22"/>
      <c r="B197" s="1184"/>
      <c r="C197" s="1173"/>
      <c r="D197" s="1173"/>
      <c r="E197" s="1173"/>
      <c r="F197" s="1173"/>
      <c r="G197" s="1173"/>
      <c r="H197" s="1173"/>
      <c r="I197" s="1173"/>
      <c r="J197" s="1173"/>
      <c r="K197" s="1173"/>
      <c r="L197" s="1173"/>
      <c r="M197" s="1173"/>
      <c r="N197" s="1173"/>
      <c r="O197" s="1173"/>
      <c r="P197" s="1173"/>
      <c r="Q197" s="968"/>
      <c r="R197" s="968"/>
      <c r="S197" s="968"/>
      <c r="T197" s="968"/>
      <c r="U197" s="886"/>
    </row>
    <row r="198" spans="1:23" ht="13.5" hidden="1" thickBot="1">
      <c r="A198" s="23"/>
      <c r="B198" s="1184"/>
      <c r="C198" s="1173"/>
      <c r="D198" s="1173"/>
      <c r="E198" s="1173"/>
      <c r="F198" s="1173"/>
      <c r="G198" s="1173"/>
      <c r="H198" s="1173"/>
      <c r="I198" s="1173"/>
      <c r="J198" s="1173"/>
      <c r="K198" s="1173"/>
      <c r="L198" s="1173"/>
      <c r="M198" s="1173"/>
      <c r="N198" s="1173"/>
      <c r="O198" s="1173"/>
      <c r="P198" s="1173"/>
      <c r="Q198" s="968"/>
      <c r="R198" s="968"/>
      <c r="S198" s="968"/>
      <c r="T198" s="968"/>
      <c r="U198" s="73"/>
    </row>
    <row r="199" spans="1:23" hidden="1">
      <c r="A199" s="4"/>
      <c r="B199" s="1143"/>
      <c r="C199" s="9"/>
      <c r="D199" s="9"/>
      <c r="E199" s="1"/>
      <c r="F199" s="1"/>
      <c r="G199" s="1"/>
      <c r="H199" s="1"/>
      <c r="I199" s="1"/>
      <c r="J199" s="1"/>
      <c r="K199" s="1"/>
      <c r="L199" s="1"/>
      <c r="M199" s="1"/>
      <c r="N199" s="1"/>
      <c r="O199" s="1"/>
      <c r="P199" s="1"/>
      <c r="Q199" s="1"/>
      <c r="R199" s="1"/>
      <c r="S199" s="1"/>
      <c r="T199" s="1"/>
      <c r="U199" s="1"/>
    </row>
    <row r="200" spans="1:23" hidden="1">
      <c r="A200" s="4"/>
      <c r="B200" s="1143"/>
      <c r="C200" s="9"/>
      <c r="D200" s="9"/>
      <c r="E200" s="1"/>
      <c r="F200" s="1"/>
      <c r="G200" s="1"/>
      <c r="H200" s="1"/>
      <c r="I200" s="1"/>
      <c r="J200" s="1"/>
      <c r="K200" s="1"/>
      <c r="L200" s="1"/>
      <c r="M200" s="1"/>
      <c r="N200" s="1"/>
      <c r="O200" s="1"/>
      <c r="P200" s="1"/>
      <c r="Q200" s="1"/>
      <c r="R200" s="1"/>
      <c r="S200" s="1"/>
      <c r="T200" s="1"/>
      <c r="U200" s="1"/>
    </row>
    <row r="201" spans="1:23" hidden="1">
      <c r="A201" s="4"/>
      <c r="B201" s="1143"/>
      <c r="C201" s="9"/>
      <c r="D201" s="9"/>
      <c r="E201" s="1"/>
      <c r="F201" s="1"/>
      <c r="G201" s="1"/>
      <c r="H201" s="1"/>
      <c r="I201" s="1"/>
      <c r="J201" s="1"/>
      <c r="K201" s="1"/>
      <c r="L201" s="1"/>
      <c r="M201" s="1"/>
      <c r="N201" s="1"/>
      <c r="O201" s="1"/>
      <c r="P201" s="1"/>
      <c r="Q201" s="1"/>
      <c r="R201" s="1"/>
      <c r="S201" s="1"/>
      <c r="T201" s="1"/>
      <c r="U201" s="1"/>
    </row>
    <row r="202" spans="1:23" hidden="1">
      <c r="A202" s="4"/>
      <c r="B202" s="1143"/>
      <c r="C202" s="9"/>
      <c r="D202" s="9"/>
      <c r="E202" s="1"/>
      <c r="F202" s="1"/>
      <c r="G202" s="1"/>
      <c r="H202" s="1"/>
      <c r="I202" s="1"/>
      <c r="J202" s="1"/>
      <c r="K202" s="1"/>
      <c r="L202" s="1"/>
      <c r="M202" s="1"/>
      <c r="N202" s="1"/>
      <c r="O202" s="1"/>
      <c r="P202" s="1"/>
      <c r="Q202" s="1"/>
      <c r="R202" s="1"/>
      <c r="S202" s="1"/>
      <c r="T202" s="1"/>
      <c r="U202" s="1"/>
    </row>
    <row r="203" spans="1:23" hidden="1">
      <c r="A203" s="4"/>
      <c r="B203" s="1143"/>
      <c r="C203" s="9"/>
      <c r="D203" s="9"/>
      <c r="E203" s="1"/>
      <c r="F203" s="1"/>
      <c r="G203" s="1"/>
      <c r="H203" s="9"/>
      <c r="I203" s="9"/>
      <c r="J203" s="9"/>
      <c r="K203" s="1"/>
      <c r="L203" s="1"/>
      <c r="M203" s="1"/>
      <c r="N203" s="1"/>
      <c r="O203" s="1"/>
      <c r="P203" s="1"/>
      <c r="Q203" s="1"/>
      <c r="R203" s="1"/>
      <c r="S203" s="1"/>
      <c r="T203" s="1"/>
      <c r="U203" s="1"/>
    </row>
    <row r="204" spans="1:23" s="836" customFormat="1" hidden="1">
      <c r="A204" s="713"/>
      <c r="B204" s="1156"/>
      <c r="C204" s="713"/>
      <c r="D204" s="713"/>
      <c r="E204" s="713"/>
      <c r="F204" s="713"/>
      <c r="G204" s="713"/>
      <c r="H204" s="713"/>
      <c r="I204" s="713"/>
      <c r="J204" s="713"/>
      <c r="K204" s="713"/>
      <c r="L204" s="713"/>
      <c r="M204" s="713"/>
      <c r="N204" s="713"/>
      <c r="O204" s="713"/>
      <c r="P204" s="713"/>
      <c r="Q204" s="713"/>
      <c r="R204" s="713"/>
      <c r="S204" s="713"/>
      <c r="T204" s="713"/>
      <c r="U204" s="713"/>
    </row>
    <row r="205" spans="1:23" s="836" customFormat="1" hidden="1">
      <c r="A205" s="713"/>
      <c r="B205" s="1156" t="s">
        <v>573</v>
      </c>
      <c r="C205" s="713">
        <v>4</v>
      </c>
      <c r="D205" s="713">
        <v>5</v>
      </c>
      <c r="E205" s="713">
        <v>6</v>
      </c>
      <c r="F205" s="713">
        <v>7</v>
      </c>
      <c r="G205" s="713">
        <v>8</v>
      </c>
      <c r="H205" s="713">
        <v>9</v>
      </c>
      <c r="I205" s="713">
        <v>10</v>
      </c>
      <c r="J205" s="713">
        <v>11</v>
      </c>
      <c r="K205" s="713">
        <v>12</v>
      </c>
      <c r="L205" s="713">
        <v>13</v>
      </c>
      <c r="M205" s="713">
        <v>14</v>
      </c>
      <c r="N205" s="713">
        <v>15</v>
      </c>
      <c r="O205" s="713">
        <v>16</v>
      </c>
      <c r="P205" s="713">
        <v>17</v>
      </c>
      <c r="Q205" s="713"/>
      <c r="R205" s="713"/>
      <c r="S205" s="713"/>
      <c r="T205" s="713"/>
      <c r="U205" s="713">
        <v>19</v>
      </c>
      <c r="V205" s="836">
        <v>20</v>
      </c>
      <c r="W205" s="836">
        <v>21</v>
      </c>
    </row>
    <row r="206" spans="1:23" s="836" customFormat="1" hidden="1">
      <c r="A206" s="713"/>
      <c r="B206" s="1156"/>
      <c r="C206" s="713"/>
      <c r="D206" s="713"/>
      <c r="E206" s="713"/>
      <c r="F206" s="713"/>
      <c r="G206" s="713"/>
      <c r="H206" s="713"/>
      <c r="I206" s="713"/>
      <c r="J206" s="713"/>
      <c r="K206" s="713"/>
      <c r="L206" s="713"/>
      <c r="M206" s="713"/>
      <c r="N206" s="713"/>
      <c r="O206" s="713"/>
      <c r="P206" s="713"/>
      <c r="Q206" s="713"/>
      <c r="R206" s="713"/>
      <c r="S206" s="713"/>
      <c r="T206" s="713"/>
      <c r="U206" s="713"/>
    </row>
    <row r="207" spans="1:23" hidden="1">
      <c r="A207" s="4"/>
      <c r="B207" s="1143"/>
      <c r="C207" s="9"/>
      <c r="D207" s="9"/>
      <c r="E207" s="1"/>
      <c r="F207" s="1"/>
      <c r="G207" s="1"/>
      <c r="H207" s="9"/>
      <c r="I207" s="9"/>
      <c r="J207" s="9"/>
      <c r="K207" s="1"/>
      <c r="L207" s="1"/>
      <c r="M207" s="1"/>
      <c r="N207" s="1"/>
      <c r="O207" s="1"/>
      <c r="P207" s="1"/>
      <c r="Q207" s="1"/>
      <c r="R207" s="1"/>
      <c r="S207" s="1"/>
      <c r="T207" s="1"/>
      <c r="U207" s="1"/>
    </row>
    <row r="208" spans="1:23" hidden="1">
      <c r="A208" s="4"/>
      <c r="B208" s="1143"/>
      <c r="C208" s="9"/>
      <c r="D208" s="9"/>
      <c r="E208" s="1"/>
      <c r="F208" s="1"/>
      <c r="G208" s="1"/>
      <c r="H208" s="9"/>
      <c r="I208" s="9"/>
      <c r="J208" s="9"/>
      <c r="K208" s="1"/>
      <c r="L208" s="1"/>
      <c r="M208" s="1"/>
      <c r="N208" s="1"/>
      <c r="O208" s="1"/>
      <c r="P208" s="1"/>
      <c r="Q208" s="1"/>
      <c r="R208" s="1"/>
      <c r="S208" s="1"/>
      <c r="T208" s="1"/>
      <c r="U208" s="1"/>
    </row>
    <row r="209" spans="1:21" hidden="1">
      <c r="A209" s="4"/>
      <c r="B209" s="1143"/>
      <c r="C209" s="9"/>
      <c r="D209" s="9"/>
      <c r="E209" s="1"/>
      <c r="F209" s="1"/>
      <c r="G209" s="1"/>
      <c r="H209" s="9"/>
      <c r="I209" s="9"/>
      <c r="J209" s="9"/>
      <c r="K209" s="1"/>
      <c r="L209" s="1"/>
      <c r="M209" s="1"/>
      <c r="N209" s="1"/>
      <c r="O209" s="1"/>
      <c r="P209" s="1"/>
      <c r="Q209" s="1"/>
      <c r="R209" s="1"/>
      <c r="S209" s="1"/>
      <c r="T209" s="1"/>
      <c r="U209" s="1"/>
    </row>
    <row r="210" spans="1:21" hidden="1">
      <c r="A210" s="4"/>
      <c r="B210" s="1143"/>
      <c r="C210" s="9"/>
      <c r="D210" s="9"/>
      <c r="E210" s="1"/>
      <c r="F210" s="1"/>
      <c r="G210" s="1">
        <f>6235693-6229494</f>
        <v>6199</v>
      </c>
      <c r="H210" s="9"/>
      <c r="I210" s="9"/>
      <c r="J210" s="9"/>
      <c r="K210" s="1"/>
      <c r="L210" s="1"/>
      <c r="M210" s="1"/>
      <c r="N210" s="1"/>
      <c r="O210" s="1"/>
      <c r="P210" s="1"/>
      <c r="Q210" s="1"/>
      <c r="R210" s="1"/>
      <c r="S210" s="1"/>
      <c r="T210" s="1"/>
      <c r="U210" s="1"/>
    </row>
    <row r="211" spans="1:21" s="964" customFormat="1" hidden="1">
      <c r="A211" s="973"/>
      <c r="B211" s="1185"/>
      <c r="C211" s="946"/>
      <c r="D211" s="946"/>
      <c r="E211" s="946"/>
      <c r="F211" s="946"/>
      <c r="G211" s="946"/>
      <c r="H211" s="946"/>
      <c r="I211" s="946"/>
      <c r="J211" s="946"/>
      <c r="K211" s="946"/>
      <c r="L211" s="946"/>
      <c r="M211" s="946"/>
      <c r="N211" s="946"/>
      <c r="O211" s="946"/>
      <c r="P211" s="946"/>
      <c r="Q211" s="946"/>
      <c r="R211" s="946"/>
      <c r="S211" s="946"/>
      <c r="T211" s="946"/>
      <c r="U211" s="946"/>
    </row>
    <row r="212" spans="1:21" hidden="1">
      <c r="A212" s="974"/>
      <c r="C212" s="422"/>
      <c r="D212" s="422"/>
      <c r="H212" s="422"/>
      <c r="I212" s="422"/>
      <c r="J212" s="422"/>
    </row>
    <row r="213" spans="1:21">
      <c r="C213" s="422"/>
      <c r="D213" s="422"/>
      <c r="H213" s="422"/>
      <c r="I213" s="422"/>
      <c r="J213" s="422"/>
    </row>
    <row r="214" spans="1:21">
      <c r="C214" s="422"/>
      <c r="D214" s="422"/>
      <c r="H214" s="422"/>
      <c r="I214" s="422"/>
      <c r="J214" s="422"/>
    </row>
    <row r="218" spans="1:21">
      <c r="F218" s="967"/>
    </row>
    <row r="219" spans="1:21">
      <c r="B219" s="1102"/>
      <c r="F219" s="967"/>
    </row>
    <row r="220" spans="1:21">
      <c r="B220" s="1102"/>
    </row>
    <row r="221" spans="1:21">
      <c r="B221" s="1102"/>
    </row>
    <row r="222" spans="1:21">
      <c r="B222" s="1102"/>
    </row>
    <row r="223" spans="1:21">
      <c r="B223" s="1102"/>
    </row>
    <row r="224" spans="1:21">
      <c r="B224" s="1102"/>
    </row>
    <row r="225" spans="2:2">
      <c r="B225" s="1102"/>
    </row>
    <row r="226" spans="2:2">
      <c r="B226" s="1102"/>
    </row>
    <row r="227" spans="2:2">
      <c r="B227" s="1241" t="s">
        <v>264</v>
      </c>
    </row>
    <row r="228" spans="2:2">
      <c r="B228" s="1241" t="s">
        <v>265</v>
      </c>
    </row>
    <row r="229" spans="2:2">
      <c r="B229" s="1263" t="s">
        <v>266</v>
      </c>
    </row>
  </sheetData>
  <mergeCells count="6">
    <mergeCell ref="B7:W7"/>
    <mergeCell ref="B8:W8"/>
    <mergeCell ref="B3:W3"/>
    <mergeCell ref="B4:W4"/>
    <mergeCell ref="B5:W5"/>
    <mergeCell ref="B6:W6"/>
  </mergeCells>
  <phoneticPr fontId="33" type="noConversion"/>
  <printOptions horizontalCentered="1"/>
  <pageMargins left="0.23622047244094491" right="0.19685039370078741" top="0.39370078740157483" bottom="0.39370078740157483" header="0.19685039370078741" footer="0"/>
  <pageSetup scale="72" fitToHeight="2" orientation="landscape" horizontalDpi="4294967295" r:id="rId1"/>
  <headerFooter alignWithMargins="0">
    <oddFooter>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Hoja4" enableFormatConditionsCalculation="0">
    <tabColor indexed="11"/>
    <pageSetUpPr fitToPage="1"/>
  </sheetPr>
  <dimension ref="A1:BK382"/>
  <sheetViews>
    <sheetView topLeftCell="C16" zoomScale="80" workbookViewId="0">
      <selection activeCell="C82" sqref="C82:C91"/>
    </sheetView>
  </sheetViews>
  <sheetFormatPr baseColWidth="10" defaultRowHeight="12.75"/>
  <cols>
    <col min="1" max="1" width="4.7109375" style="1" hidden="1" customWidth="1"/>
    <col min="2" max="2" width="8" style="1" hidden="1" customWidth="1"/>
    <col min="3" max="3" width="38.140625" style="1143" customWidth="1"/>
    <col min="4" max="5" width="14.42578125" style="985" hidden="1" customWidth="1"/>
    <col min="6" max="6" width="14.42578125" style="1" hidden="1" customWidth="1"/>
    <col min="7" max="7" width="16.42578125" style="1" hidden="1" customWidth="1"/>
    <col min="8" max="8" width="14.42578125" style="1" hidden="1" customWidth="1"/>
    <col min="9" max="9" width="14.85546875" style="1" hidden="1" customWidth="1"/>
    <col min="10" max="10" width="15.7109375" style="1" hidden="1" customWidth="1"/>
    <col min="11" max="11" width="13.85546875" style="1" hidden="1" customWidth="1"/>
    <col min="12" max="12" width="15" style="1" hidden="1" customWidth="1"/>
    <col min="13" max="13" width="15.7109375" style="1" hidden="1" customWidth="1"/>
    <col min="14" max="14" width="14.5703125" style="1" hidden="1" customWidth="1"/>
    <col min="15" max="15" width="1.42578125" style="375" hidden="1" customWidth="1"/>
    <col min="16" max="18" width="13.5703125" style="9" hidden="1" customWidth="1"/>
    <col min="19" max="21" width="13.5703125" style="988" hidden="1" customWidth="1"/>
    <col min="22" max="22" width="12.5703125" style="988" hidden="1" customWidth="1"/>
    <col min="23" max="25" width="12.42578125" style="988" hidden="1" customWidth="1"/>
    <col min="26" max="29" width="12.42578125" style="988" customWidth="1"/>
    <col min="30" max="63" width="11.42578125" style="375"/>
    <col min="64" max="16384" width="11.42578125" style="9"/>
  </cols>
  <sheetData>
    <row r="1" spans="1:36" s="74" customFormat="1">
      <c r="A1" s="1299"/>
      <c r="B1" s="1301"/>
      <c r="C1" s="1322" t="s">
        <v>898</v>
      </c>
      <c r="D1" s="1322"/>
      <c r="E1" s="1322"/>
      <c r="F1" s="1322"/>
      <c r="G1" s="1322"/>
      <c r="H1" s="1322"/>
      <c r="I1" s="1322"/>
      <c r="J1" s="1322"/>
      <c r="K1" s="1322"/>
      <c r="L1" s="1322"/>
      <c r="M1" s="1322"/>
      <c r="N1" s="1322"/>
      <c r="O1" s="1322"/>
      <c r="P1" s="1322"/>
      <c r="Q1" s="1322"/>
      <c r="R1" s="1322"/>
      <c r="S1" s="1322"/>
      <c r="T1" s="1322"/>
      <c r="U1" s="1322"/>
      <c r="V1" s="1322"/>
      <c r="W1" s="1322"/>
      <c r="X1" s="1322"/>
      <c r="Y1" s="1322"/>
      <c r="Z1" s="1322"/>
      <c r="AA1" s="1322"/>
      <c r="AB1" s="1322"/>
      <c r="AC1" s="1322"/>
      <c r="AD1" s="1322"/>
      <c r="AE1" s="1322"/>
      <c r="AF1" s="1322"/>
      <c r="AG1" s="1322"/>
      <c r="AH1" s="1322"/>
      <c r="AI1" s="1322"/>
      <c r="AJ1" s="1322"/>
    </row>
    <row r="2" spans="1:36" s="74" customFormat="1">
      <c r="A2" s="1299"/>
      <c r="B2" s="1301"/>
      <c r="C2" s="1322" t="s">
        <v>529</v>
      </c>
      <c r="D2" s="1322"/>
      <c r="E2" s="1322"/>
      <c r="F2" s="1322"/>
      <c r="G2" s="1322"/>
      <c r="H2" s="1322"/>
      <c r="I2" s="1322"/>
      <c r="J2" s="1322"/>
      <c r="K2" s="1322"/>
      <c r="L2" s="1322"/>
      <c r="M2" s="1322"/>
      <c r="N2" s="1322"/>
      <c r="O2" s="1322"/>
      <c r="P2" s="1322"/>
      <c r="Q2" s="1322"/>
      <c r="R2" s="1322"/>
      <c r="S2" s="1322"/>
      <c r="T2" s="1322"/>
      <c r="U2" s="1322"/>
      <c r="V2" s="1322"/>
      <c r="W2" s="1322"/>
      <c r="X2" s="1322"/>
      <c r="Y2" s="1322"/>
      <c r="Z2" s="1322"/>
      <c r="AA2" s="1322"/>
      <c r="AB2" s="1322"/>
      <c r="AC2" s="1322"/>
      <c r="AD2" s="1322"/>
      <c r="AE2" s="1322"/>
      <c r="AF2" s="1322"/>
      <c r="AG2" s="1322"/>
      <c r="AH2" s="1322"/>
      <c r="AI2" s="1322"/>
      <c r="AJ2" s="1322"/>
    </row>
    <row r="3" spans="1:36" s="74" customFormat="1" ht="12.75" customHeight="1">
      <c r="A3" s="349"/>
      <c r="B3" s="1300"/>
      <c r="C3" s="1322" t="s">
        <v>540</v>
      </c>
      <c r="D3" s="1322"/>
      <c r="E3" s="1322"/>
      <c r="F3" s="1322"/>
      <c r="G3" s="1322"/>
      <c r="H3" s="1322"/>
      <c r="I3" s="1322"/>
      <c r="J3" s="1322"/>
      <c r="K3" s="1322"/>
      <c r="L3" s="1322"/>
      <c r="M3" s="1322"/>
      <c r="N3" s="1322"/>
      <c r="O3" s="1322"/>
      <c r="P3" s="1322"/>
      <c r="Q3" s="1322"/>
      <c r="R3" s="1322"/>
      <c r="S3" s="1322"/>
      <c r="T3" s="1322"/>
      <c r="U3" s="1322"/>
      <c r="V3" s="1322"/>
      <c r="W3" s="1322"/>
      <c r="X3" s="1322"/>
      <c r="Y3" s="1322"/>
      <c r="Z3" s="1322"/>
      <c r="AA3" s="1322"/>
      <c r="AB3" s="1322"/>
      <c r="AC3" s="1322"/>
      <c r="AD3" s="1322"/>
      <c r="AE3" s="1322"/>
      <c r="AF3" s="1322"/>
      <c r="AG3" s="1322"/>
      <c r="AH3" s="1322"/>
      <c r="AI3" s="1322"/>
      <c r="AJ3" s="1322"/>
    </row>
    <row r="4" spans="1:36" s="74" customFormat="1">
      <c r="A4" s="1299"/>
      <c r="B4" s="1301"/>
      <c r="C4" s="1322" t="s">
        <v>1347</v>
      </c>
      <c r="D4" s="1322"/>
      <c r="E4" s="1322"/>
      <c r="F4" s="1322"/>
      <c r="G4" s="1322"/>
      <c r="H4" s="1322"/>
      <c r="I4" s="1322"/>
      <c r="J4" s="1322"/>
      <c r="K4" s="1322"/>
      <c r="L4" s="1322"/>
      <c r="M4" s="1322"/>
      <c r="N4" s="1322"/>
      <c r="O4" s="1322"/>
      <c r="P4" s="1322"/>
      <c r="Q4" s="1322"/>
      <c r="R4" s="1322"/>
      <c r="S4" s="1322"/>
      <c r="T4" s="1322"/>
      <c r="U4" s="1322"/>
      <c r="V4" s="1322"/>
      <c r="W4" s="1322"/>
      <c r="X4" s="1322"/>
      <c r="Y4" s="1322"/>
      <c r="Z4" s="1322"/>
      <c r="AA4" s="1322"/>
      <c r="AB4" s="1322"/>
      <c r="AC4" s="1322"/>
      <c r="AD4" s="1322"/>
      <c r="AE4" s="1322"/>
      <c r="AF4" s="1322"/>
      <c r="AG4" s="1322"/>
      <c r="AH4" s="1322"/>
      <c r="AI4" s="1322"/>
      <c r="AJ4" s="1322"/>
    </row>
    <row r="5" spans="1:36" s="74" customFormat="1">
      <c r="A5" s="349"/>
      <c r="B5" s="349"/>
      <c r="C5" s="1322" t="s">
        <v>490</v>
      </c>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c r="AG5" s="1322"/>
      <c r="AH5" s="1322"/>
      <c r="AI5" s="1322"/>
      <c r="AJ5" s="1322"/>
    </row>
    <row r="6" spans="1:36" s="74" customFormat="1">
      <c r="A6" s="349"/>
      <c r="B6" s="1300"/>
      <c r="C6" s="1322" t="s">
        <v>542</v>
      </c>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1322"/>
      <c r="AF6" s="1322"/>
      <c r="AG6" s="1322"/>
      <c r="AH6" s="1322"/>
      <c r="AI6" s="1322"/>
      <c r="AJ6" s="1322"/>
    </row>
    <row r="7" spans="1:36" s="45" customFormat="1" ht="9" customHeight="1" thickBot="1">
      <c r="A7" s="1302"/>
      <c r="B7" s="1303"/>
      <c r="C7" s="978"/>
      <c r="D7" s="978"/>
      <c r="E7" s="978"/>
      <c r="F7" s="978"/>
      <c r="G7" s="978"/>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row>
    <row r="8" spans="1:36" ht="45.75" customHeight="1" thickBot="1">
      <c r="A8" s="390" t="s">
        <v>158</v>
      </c>
      <c r="B8" s="465"/>
      <c r="C8" s="1044" t="s">
        <v>797</v>
      </c>
      <c r="D8" s="1190" t="str">
        <f>+Ingresos!C25</f>
        <v>Escenario Financiero Año 2005</v>
      </c>
      <c r="E8" s="1190" t="s">
        <v>159</v>
      </c>
      <c r="F8" s="1043" t="s">
        <v>160</v>
      </c>
      <c r="G8" s="1191" t="s">
        <v>161</v>
      </c>
      <c r="H8" s="1040" t="s">
        <v>162</v>
      </c>
      <c r="I8" s="1043" t="s">
        <v>163</v>
      </c>
      <c r="J8" s="1043" t="s">
        <v>159</v>
      </c>
      <c r="K8" s="1043" t="s">
        <v>160</v>
      </c>
      <c r="L8" s="1043" t="s">
        <v>163</v>
      </c>
      <c r="M8" s="1043" t="s">
        <v>159</v>
      </c>
      <c r="N8" s="1043" t="s">
        <v>160</v>
      </c>
      <c r="O8" s="1192"/>
      <c r="P8" s="1043" t="str">
        <f>+'Ingresos Proyecciones'!C9</f>
        <v>Escenario Financiero Año 2002</v>
      </c>
      <c r="Q8" s="1043" t="str">
        <f>+'Ingresos Proyecciones'!D9</f>
        <v>Escenario Financiero Año 2003</v>
      </c>
      <c r="R8" s="1043" t="str">
        <f>+'Ingresos Proyecciones'!E9</f>
        <v>Escenario Financiero Año 2004</v>
      </c>
      <c r="S8" s="1190" t="str">
        <f>+'Ingresos Proyecciones'!F9</f>
        <v>Escenario Financiero Año 2005</v>
      </c>
      <c r="T8" s="1190" t="str">
        <f>+'Ingresos Proyecciones'!G9</f>
        <v>Escenario Financiero Año 2006</v>
      </c>
      <c r="U8" s="1190" t="str">
        <f>+'Ingresos Proyecciones'!H9</f>
        <v>Escenario Financiero Año 2007</v>
      </c>
      <c r="V8" s="1190" t="str">
        <f>+'Ingresos Proyecciones'!I9</f>
        <v>Escenario Financiero Año 2008</v>
      </c>
      <c r="W8" s="1190" t="str">
        <f>+'Ingresos Proyecciones'!J9</f>
        <v>Escenario Financiero Año 2009</v>
      </c>
      <c r="X8" s="1190" t="str">
        <f>+'Ingresos Proyecciones'!K9</f>
        <v>Escenario Financiero Año 2010</v>
      </c>
      <c r="Y8" s="1190" t="str">
        <f>+'Ingresos Proyecciones'!L9</f>
        <v>Escenario Financiero Año 2011</v>
      </c>
      <c r="Z8" s="1190" t="str">
        <f>+'Ingresos Proyecciones'!M9</f>
        <v>Escenario Financiero Año 2012</v>
      </c>
      <c r="AA8" s="1190" t="str">
        <f>+'Ingresos Proyecciones'!N9</f>
        <v>Escenario Financiero Año 2013</v>
      </c>
      <c r="AB8" s="1190" t="str">
        <f>+'Ingresos Proyecciones'!O9</f>
        <v>Escenario Financiero Año 2014</v>
      </c>
      <c r="AC8" s="1190" t="str">
        <f>+'Ingresos Proyecciones'!P9</f>
        <v>Escenario Financiero Año 2015</v>
      </c>
      <c r="AD8" s="1190" t="str">
        <f>+'Ingresos Proyecciones'!Q9</f>
        <v>Escenario Financiero Año 2016</v>
      </c>
      <c r="AE8" s="1190" t="str">
        <f>+'Ingresos Proyecciones'!R9</f>
        <v>Escenario Financiero Año 2017</v>
      </c>
      <c r="AF8" s="1190" t="str">
        <f>+'Ingresos Proyecciones'!S9</f>
        <v>Escenario Financiero Año 2018</v>
      </c>
      <c r="AG8" s="1190" t="str">
        <f>+'Ingresos Proyecciones'!T9</f>
        <v>Escenario Financiero Año 2019</v>
      </c>
      <c r="AH8" s="1190" t="str">
        <f>+'Ingresos Proyecciones'!U9</f>
        <v>Escenario Financiero Año 2020</v>
      </c>
      <c r="AI8" s="1190" t="str">
        <f>+'Ingresos Proyecciones'!V9</f>
        <v>Escenario Financiero Año 2021</v>
      </c>
      <c r="AJ8" s="1190" t="str">
        <f>+'Ingresos Proyecciones'!W9</f>
        <v>Escenario Financiero Año 2022</v>
      </c>
    </row>
    <row r="9" spans="1:36">
      <c r="A9" s="774" t="str">
        <f>+Ingresos!A28</f>
        <v>11</v>
      </c>
      <c r="B9" s="775"/>
      <c r="C9" s="1193" t="s">
        <v>811</v>
      </c>
      <c r="D9" s="1194" t="e">
        <f>+D10+D25+D58</f>
        <v>#REF!</v>
      </c>
      <c r="E9" s="1194" t="e">
        <f>+E10+E25+E58</f>
        <v>#REF!</v>
      </c>
      <c r="F9" s="1162" t="e">
        <f>+F10+F25+F58</f>
        <v>#REF!</v>
      </c>
      <c r="G9" s="1195"/>
      <c r="H9" s="1195"/>
      <c r="I9" s="1162" t="e">
        <f>+I10+I25+I58</f>
        <v>#REF!</v>
      </c>
      <c r="J9" s="1162" t="e">
        <f>+J10+J25+J58</f>
        <v>#REF!</v>
      </c>
      <c r="K9" s="1162" t="e">
        <f>+K10+K25+K58</f>
        <v>#REF!</v>
      </c>
      <c r="L9" s="1162">
        <f>+Ingresos!C28</f>
        <v>6672041</v>
      </c>
      <c r="M9" s="1162">
        <f>+Ingresos!E28</f>
        <v>6672041</v>
      </c>
      <c r="N9" s="1162">
        <f>+Ingresos!H28</f>
        <v>0</v>
      </c>
      <c r="O9" s="1192"/>
      <c r="P9" s="1162" t="e">
        <f t="shared" ref="P9:AC9" si="0">+P10+P25+P58</f>
        <v>#REF!</v>
      </c>
      <c r="Q9" s="1162" t="e">
        <f t="shared" si="0"/>
        <v>#REF!</v>
      </c>
      <c r="R9" s="1162" t="e">
        <f t="shared" si="0"/>
        <v>#REF!</v>
      </c>
      <c r="S9" s="1194" t="e">
        <f t="shared" si="0"/>
        <v>#REF!</v>
      </c>
      <c r="T9" s="1194" t="e">
        <f t="shared" si="0"/>
        <v>#REF!</v>
      </c>
      <c r="U9" s="1194" t="e">
        <f t="shared" si="0"/>
        <v>#REF!</v>
      </c>
      <c r="V9" s="1194">
        <f t="shared" si="0"/>
        <v>897906</v>
      </c>
      <c r="W9" s="1194">
        <f t="shared" si="0"/>
        <v>761820.6</v>
      </c>
      <c r="X9" s="1194">
        <f t="shared" si="0"/>
        <v>792293.42400000012</v>
      </c>
      <c r="Y9" s="1194">
        <f t="shared" si="0"/>
        <v>823985.16096000024</v>
      </c>
      <c r="Z9" s="1194">
        <f t="shared" si="0"/>
        <v>868944.56739840016</v>
      </c>
      <c r="AA9" s="1194">
        <f t="shared" si="0"/>
        <v>903702.3500943362</v>
      </c>
      <c r="AB9" s="1194">
        <f t="shared" si="0"/>
        <v>939850.44409810961</v>
      </c>
      <c r="AC9" s="1194">
        <f t="shared" si="0"/>
        <v>977444.46186203405</v>
      </c>
      <c r="AD9" s="1194">
        <f t="shared" ref="AD9:AI9" si="1">+AD10+AD25+AD58</f>
        <v>1016542.2403365155</v>
      </c>
      <c r="AE9" s="1194">
        <f t="shared" si="1"/>
        <v>1057203.929949976</v>
      </c>
      <c r="AF9" s="1194">
        <f t="shared" si="1"/>
        <v>1099492.0871479751</v>
      </c>
      <c r="AG9" s="1194">
        <f t="shared" si="1"/>
        <v>1143471.7706338943</v>
      </c>
      <c r="AH9" s="1194">
        <f t="shared" si="1"/>
        <v>1189210.6414592499</v>
      </c>
      <c r="AI9" s="1194">
        <f t="shared" si="1"/>
        <v>1236779.0671176203</v>
      </c>
      <c r="AJ9" s="1194">
        <f>+AJ10+AJ25+AJ58</f>
        <v>1286250.2298023249</v>
      </c>
    </row>
    <row r="10" spans="1:36">
      <c r="A10" s="776" t="str">
        <f>+Ingresos!A29</f>
        <v>111</v>
      </c>
      <c r="B10" s="777"/>
      <c r="C10" s="1196" t="s">
        <v>813</v>
      </c>
      <c r="D10" s="1194" t="e">
        <f>+D11+D12+D13+D14+D15+D16+D17+D18+D19+D20+D21+#REF!+#REF!+#REF!+#REF!</f>
        <v>#REF!</v>
      </c>
      <c r="E10" s="1194" t="e">
        <f>+E11+E12+E13+E14+E15+E16+E17+E18+E19+E20+E21+#REF!+#REF!+#REF!+#REF!</f>
        <v>#REF!</v>
      </c>
      <c r="F10" s="1162" t="e">
        <f>+F11+F12+F13+F14+F15+F16+F17+F18+F19+F20+F21+#REF!+#REF!+#REF!+#REF!</f>
        <v>#REF!</v>
      </c>
      <c r="G10" s="1197"/>
      <c r="H10" s="1197"/>
      <c r="I10" s="1162" t="e">
        <f>SUM(I11:I21)+#REF!+#REF!</f>
        <v>#REF!</v>
      </c>
      <c r="J10" s="1162" t="e">
        <f>SUM(J11:J21)+#REF!+#REF!</f>
        <v>#REF!</v>
      </c>
      <c r="K10" s="1162" t="e">
        <f>SUM(K11:K21)+#REF!+#REF!</f>
        <v>#REF!</v>
      </c>
      <c r="L10" s="1162">
        <f>+Ingresos!C29</f>
        <v>169089</v>
      </c>
      <c r="M10" s="1162">
        <f>+Ingresos!E29</f>
        <v>169089</v>
      </c>
      <c r="N10" s="1162">
        <f>+Ingresos!H29</f>
        <v>0</v>
      </c>
      <c r="O10" s="1192"/>
      <c r="P10" s="1162" t="e">
        <f>+P11+P12+P13+P14+P15+P16+P17+P18+P19+P20+P21+#REF!+#REF!+#REF!+#REF!</f>
        <v>#REF!</v>
      </c>
      <c r="Q10" s="1162" t="e">
        <f>+Q11+Q12+Q13+Q14+Q15+Q16+Q17+Q18+Q19+Q20+Q21+#REF!+#REF!+#REF!+#REF!</f>
        <v>#REF!</v>
      </c>
      <c r="R10" s="1162" t="e">
        <f>+R11+R12+R13+R14+R15+R16+R17+R18+R19+R20+R21+#REF!+#REF!+#REF!+#REF!</f>
        <v>#REF!</v>
      </c>
      <c r="S10" s="1194" t="e">
        <f>+S11+S12+S13+S14+S15+S16+S17+S18+S19+S20+S21+#REF!+#REF!+#REF!+#REF!</f>
        <v>#REF!</v>
      </c>
      <c r="T10" s="1194" t="e">
        <f>+T11+T12+T13+T14+T15+T16+T17+T18+T19+T20+T21+#REF!+#REF!+#REF!+#REF!</f>
        <v>#REF!</v>
      </c>
      <c r="U10" s="1194" t="e">
        <f>+U11+U12+U13+U14+U15+U16+U17+U18+U19+U20+U21+#REF!+#REF!+#REF!+#REF!</f>
        <v>#REF!</v>
      </c>
      <c r="V10" s="1194">
        <f>+V11+V12+V13+V14+V15+V16+V17+V18+V19+V20+V21</f>
        <v>204583</v>
      </c>
      <c r="W10" s="1194">
        <f t="shared" ref="W10:AC10" si="2">+W11+W12+W13+W14+W15+W16+W17+W18+W19+W20+W21</f>
        <v>179204.48000000001</v>
      </c>
      <c r="X10" s="1194">
        <f t="shared" si="2"/>
        <v>186372.65919999999</v>
      </c>
      <c r="Y10" s="1194">
        <f t="shared" si="2"/>
        <v>193827.56556800002</v>
      </c>
      <c r="Z10" s="1194">
        <f t="shared" si="2"/>
        <v>213580.66819072003</v>
      </c>
      <c r="AA10" s="1194">
        <f t="shared" si="2"/>
        <v>222123.89491834884</v>
      </c>
      <c r="AB10" s="1194">
        <f t="shared" si="2"/>
        <v>231008.85071508278</v>
      </c>
      <c r="AC10" s="1194">
        <f t="shared" si="2"/>
        <v>240249.20474368604</v>
      </c>
      <c r="AD10" s="1194">
        <f t="shared" ref="AD10:AI10" si="3">+AD11+AD12+AD13+AD14+AD15+AD16+AD17+AD18+AD19+AD20+AD21</f>
        <v>249859.17293343355</v>
      </c>
      <c r="AE10" s="1194">
        <f t="shared" si="3"/>
        <v>259853.5398507709</v>
      </c>
      <c r="AF10" s="1194">
        <f t="shared" si="3"/>
        <v>270247.68144480168</v>
      </c>
      <c r="AG10" s="1194">
        <f t="shared" si="3"/>
        <v>281057.58870259376</v>
      </c>
      <c r="AH10" s="1194">
        <f t="shared" si="3"/>
        <v>292299.89225069754</v>
      </c>
      <c r="AI10" s="1194">
        <f t="shared" si="3"/>
        <v>303991.88794072554</v>
      </c>
      <c r="AJ10" s="1194">
        <f>+AJ11+AJ12+AJ13+AJ14+AJ15+AJ16+AJ17+AJ18+AJ19+AJ20+AJ21</f>
        <v>316151.56345835456</v>
      </c>
    </row>
    <row r="11" spans="1:36" ht="22.5">
      <c r="A11" s="776" t="str">
        <f>+Ingresos!A30</f>
        <v>1110103</v>
      </c>
      <c r="B11" s="777"/>
      <c r="C11" s="1198" t="s">
        <v>815</v>
      </c>
      <c r="D11" s="1199">
        <f>+L11-I11</f>
        <v>80000</v>
      </c>
      <c r="E11" s="1199">
        <f>+M11-J11</f>
        <v>80000</v>
      </c>
      <c r="F11" s="1165">
        <f>+N11-K11</f>
        <v>0</v>
      </c>
      <c r="G11" s="1200"/>
      <c r="H11" s="1200"/>
      <c r="I11" s="1165">
        <f>+$G11*L11</f>
        <v>0</v>
      </c>
      <c r="J11" s="1165">
        <f>+$G11*M11</f>
        <v>0</v>
      </c>
      <c r="K11" s="1165">
        <f>+$G11*N11</f>
        <v>0</v>
      </c>
      <c r="L11" s="1165">
        <f>+Ingresos!C30</f>
        <v>80000</v>
      </c>
      <c r="M11" s="1165">
        <f>+Ingresos!E30</f>
        <v>80000</v>
      </c>
      <c r="N11" s="1165">
        <f>+Ingresos!H30</f>
        <v>0</v>
      </c>
      <c r="O11" s="1201"/>
      <c r="P11" s="1165" t="e">
        <f>+'Ingresos Proyecciones'!C14-('Ingresos Proyecciones'!C14*'Ley 617'!#REF!)</f>
        <v>#REF!</v>
      </c>
      <c r="Q11" s="1165" t="e">
        <f>+'Ingresos Proyecciones'!D14-('Ingresos Proyecciones'!D14*'Ley 617'!#REF!)</f>
        <v>#REF!</v>
      </c>
      <c r="R11" s="1165" t="e">
        <f>+'Ingresos Proyecciones'!E14-('Ingresos Proyecciones'!E14*'Ley 617'!#REF!)</f>
        <v>#REF!</v>
      </c>
      <c r="S11" s="1199" t="e">
        <f>+'Ingresos Proyecciones'!F14-('Ingresos Proyecciones'!F14*'Ley 617'!#REF!)</f>
        <v>#REF!</v>
      </c>
      <c r="T11" s="1199" t="e">
        <f>+'Ingresos Proyecciones'!G14-('Ingresos Proyecciones'!G14*'Ley 617'!#REF!)</f>
        <v>#REF!</v>
      </c>
      <c r="U11" s="1199" t="e">
        <f>+'Ingresos Proyecciones'!H14-('Ingresos Proyecciones'!H14*'Ley 617'!#REF!)</f>
        <v>#REF!</v>
      </c>
      <c r="V11" s="1199">
        <f>+'Ingresos Proyecciones'!I14</f>
        <v>89989</v>
      </c>
      <c r="W11" s="1199">
        <f>+'Ingresos Proyecciones'!J14</f>
        <v>93588.56</v>
      </c>
      <c r="X11" s="1199">
        <f>+'Ingresos Proyecciones'!K14</f>
        <v>97332.102400000003</v>
      </c>
      <c r="Y11" s="1199">
        <f>+'Ingresos Proyecciones'!L14</f>
        <v>101225.38649600001</v>
      </c>
      <c r="Z11" s="1199">
        <f>+'Ingresos Proyecciones'!M14</f>
        <v>105274.40195584</v>
      </c>
      <c r="AA11" s="1199">
        <f>+'Ingresos Proyecciones'!N14</f>
        <v>109485.37803407361</v>
      </c>
      <c r="AB11" s="1199">
        <f>+'Ingresos Proyecciones'!O14</f>
        <v>113864.79315543656</v>
      </c>
      <c r="AC11" s="1199">
        <f>+'Ingresos Proyecciones'!P14</f>
        <v>118419.38488165403</v>
      </c>
      <c r="AD11" s="1199">
        <f>+'Ingresos Proyecciones'!Q14</f>
        <v>123156.16027692019</v>
      </c>
      <c r="AE11" s="1199">
        <f>+'Ingresos Proyecciones'!R14</f>
        <v>128082.40668799699</v>
      </c>
      <c r="AF11" s="1199">
        <f>+'Ingresos Proyecciones'!S14</f>
        <v>133205.70295551687</v>
      </c>
      <c r="AG11" s="1199">
        <f>+'Ingresos Proyecciones'!T14</f>
        <v>138533.93107373756</v>
      </c>
      <c r="AH11" s="1199">
        <f>+'Ingresos Proyecciones'!U14</f>
        <v>144075.28831668707</v>
      </c>
      <c r="AI11" s="1199">
        <f>+'Ingresos Proyecciones'!V14</f>
        <v>149838.29984935457</v>
      </c>
      <c r="AJ11" s="1199">
        <f>+'Ingresos Proyecciones'!W14</f>
        <v>155831.83184332875</v>
      </c>
    </row>
    <row r="12" spans="1:36" ht="22.5">
      <c r="A12" s="776" t="str">
        <f>+Ingresos!A32</f>
        <v>307A</v>
      </c>
      <c r="B12" s="777"/>
      <c r="C12" s="1198" t="s">
        <v>819</v>
      </c>
      <c r="D12" s="1199">
        <f t="shared" ref="D12:D20" si="4">+L12-I12</f>
        <v>2000</v>
      </c>
      <c r="E12" s="1199">
        <f t="shared" ref="E12:E20" si="5">+M12-J12</f>
        <v>2000</v>
      </c>
      <c r="F12" s="1165">
        <f t="shared" ref="F12:F20" si="6">+N12-K12</f>
        <v>0</v>
      </c>
      <c r="G12" s="1200"/>
      <c r="H12" s="1200"/>
      <c r="I12" s="1165">
        <f t="shared" ref="I12:I20" si="7">+$G12*L12</f>
        <v>0</v>
      </c>
      <c r="J12" s="1165">
        <f t="shared" ref="J12:J20" si="8">+$G12*M12</f>
        <v>0</v>
      </c>
      <c r="K12" s="1165">
        <f t="shared" ref="K12:K20" si="9">+$G12*N12</f>
        <v>0</v>
      </c>
      <c r="L12" s="1165">
        <f>+Ingresos!C32</f>
        <v>2000</v>
      </c>
      <c r="M12" s="1165">
        <f>+Ingresos!E32</f>
        <v>2000</v>
      </c>
      <c r="N12" s="1165">
        <f>+Ingresos!H32</f>
        <v>0</v>
      </c>
      <c r="O12" s="1201"/>
      <c r="P12" s="1165" t="e">
        <f>+'Ingresos Proyecciones'!C16-('Ingresos Proyecciones'!C16*'Ley 617'!#REF!)</f>
        <v>#REF!</v>
      </c>
      <c r="Q12" s="1165" t="e">
        <f>+'Ingresos Proyecciones'!D16-('Ingresos Proyecciones'!D16*'Ley 617'!#REF!)</f>
        <v>#REF!</v>
      </c>
      <c r="R12" s="1165" t="e">
        <f>+'Ingresos Proyecciones'!E16-('Ingresos Proyecciones'!E16*'Ley 617'!#REF!)</f>
        <v>#REF!</v>
      </c>
      <c r="S12" s="1199" t="e">
        <f>+'Ingresos Proyecciones'!F16-('Ingresos Proyecciones'!F16*'Ley 617'!#REF!)</f>
        <v>#REF!</v>
      </c>
      <c r="T12" s="1199" t="e">
        <f>+'Ingresos Proyecciones'!G16-('Ingresos Proyecciones'!G16*'Ley 617'!#REF!)</f>
        <v>#REF!</v>
      </c>
      <c r="U12" s="1199" t="e">
        <f>+'Ingresos Proyecciones'!H16-('Ingresos Proyecciones'!H16*'Ley 617'!#REF!)</f>
        <v>#REF!</v>
      </c>
      <c r="V12" s="1199">
        <f>+'Ingresos Proyecciones'!I16</f>
        <v>2250</v>
      </c>
      <c r="W12" s="1199">
        <f>+'Ingresos Proyecciones'!J16</f>
        <v>2340</v>
      </c>
      <c r="X12" s="1199">
        <f>+'Ingresos Proyecciones'!K16</f>
        <v>2433.6</v>
      </c>
      <c r="Y12" s="1199">
        <f>+'Ingresos Proyecciones'!L16</f>
        <v>2530.944</v>
      </c>
      <c r="Z12" s="1199">
        <f>+'Ingresos Proyecciones'!M16</f>
        <v>2632.1817599999999</v>
      </c>
      <c r="AA12" s="1199">
        <f>+'Ingresos Proyecciones'!N16</f>
        <v>2737.4690304000001</v>
      </c>
      <c r="AB12" s="1199">
        <f>+'Ingresos Proyecciones'!O16</f>
        <v>2846.9677916160003</v>
      </c>
      <c r="AC12" s="1199">
        <f>+'Ingresos Proyecciones'!P16</f>
        <v>2960.8465032806403</v>
      </c>
      <c r="AD12" s="1199">
        <f>+'Ingresos Proyecciones'!Q16</f>
        <v>3079.2803634118659</v>
      </c>
      <c r="AE12" s="1199">
        <f>+'Ingresos Proyecciones'!R16</f>
        <v>3202.4515779483409</v>
      </c>
      <c r="AF12" s="1199">
        <f>+'Ingresos Proyecciones'!S16</f>
        <v>3330.5496410662745</v>
      </c>
      <c r="AG12" s="1199">
        <f>+'Ingresos Proyecciones'!T16</f>
        <v>3463.7716267089254</v>
      </c>
      <c r="AH12" s="1199">
        <f>+'Ingresos Proyecciones'!U16</f>
        <v>3602.3224917772827</v>
      </c>
      <c r="AI12" s="1199">
        <f>+'Ingresos Proyecciones'!V16</f>
        <v>3746.4153914483741</v>
      </c>
      <c r="AJ12" s="1199">
        <f>+'Ingresos Proyecciones'!W16</f>
        <v>3896.272007106309</v>
      </c>
    </row>
    <row r="13" spans="1:36">
      <c r="A13" s="776" t="str">
        <f>+Ingresos!A33</f>
        <v>1110205</v>
      </c>
      <c r="B13" s="777"/>
      <c r="C13" s="1198" t="s">
        <v>821</v>
      </c>
      <c r="D13" s="1199">
        <f t="shared" si="4"/>
        <v>45000</v>
      </c>
      <c r="E13" s="1199">
        <f t="shared" si="5"/>
        <v>45000</v>
      </c>
      <c r="F13" s="1165">
        <f t="shared" si="6"/>
        <v>0</v>
      </c>
      <c r="G13" s="1200"/>
      <c r="H13" s="1200"/>
      <c r="I13" s="1165">
        <f t="shared" si="7"/>
        <v>0</v>
      </c>
      <c r="J13" s="1165">
        <f t="shared" si="8"/>
        <v>0</v>
      </c>
      <c r="K13" s="1165">
        <f t="shared" si="9"/>
        <v>0</v>
      </c>
      <c r="L13" s="1165">
        <f>+Ingresos!C33</f>
        <v>45000</v>
      </c>
      <c r="M13" s="1165">
        <f>+Ingresos!E33</f>
        <v>45000</v>
      </c>
      <c r="N13" s="1165">
        <f>+Ingresos!H33</f>
        <v>0</v>
      </c>
      <c r="O13" s="1201"/>
      <c r="P13" s="1165" t="e">
        <f>+'Ingresos Proyecciones'!C17-('Ingresos Proyecciones'!C17*'Ley 617'!#REF!)</f>
        <v>#REF!</v>
      </c>
      <c r="Q13" s="1165" t="e">
        <f>+'Ingresos Proyecciones'!D17-('Ingresos Proyecciones'!D17*'Ley 617'!#REF!)</f>
        <v>#REF!</v>
      </c>
      <c r="R13" s="1165" t="e">
        <f>+'Ingresos Proyecciones'!E17-('Ingresos Proyecciones'!E17*'Ley 617'!#REF!)</f>
        <v>#REF!</v>
      </c>
      <c r="S13" s="1199" t="e">
        <f>+'Ingresos Proyecciones'!F17-('Ingresos Proyecciones'!F17*'Ley 617'!#REF!)</f>
        <v>#REF!</v>
      </c>
      <c r="T13" s="1199" t="e">
        <f>+'Ingresos Proyecciones'!G17-('Ingresos Proyecciones'!G17*'Ley 617'!#REF!)</f>
        <v>#REF!</v>
      </c>
      <c r="U13" s="1199" t="e">
        <f>+'Ingresos Proyecciones'!H17-('Ingresos Proyecciones'!H17*'Ley 617'!#REF!)</f>
        <v>#REF!</v>
      </c>
      <c r="V13" s="1199">
        <f>+'Ingresos Proyecciones'!I17</f>
        <v>65000</v>
      </c>
      <c r="W13" s="1199">
        <f>+'Ingresos Proyecciones'!J17</f>
        <v>67600</v>
      </c>
      <c r="X13" s="1199">
        <f>+'Ingresos Proyecciones'!K17</f>
        <v>70304</v>
      </c>
      <c r="Y13" s="1199">
        <f>+'Ingresos Proyecciones'!L17</f>
        <v>73116.160000000003</v>
      </c>
      <c r="Z13" s="1199">
        <f>+'Ingresos Proyecciones'!M17</f>
        <v>76040.806400000001</v>
      </c>
      <c r="AA13" s="1199">
        <f>+'Ingresos Proyecciones'!N17</f>
        <v>79082.438655999998</v>
      </c>
      <c r="AB13" s="1199">
        <f>+'Ingresos Proyecciones'!O17</f>
        <v>82245.736202240005</v>
      </c>
      <c r="AC13" s="1199">
        <f>+'Ingresos Proyecciones'!P17</f>
        <v>85535.565650329605</v>
      </c>
      <c r="AD13" s="1199">
        <f>+'Ingresos Proyecciones'!Q17</f>
        <v>88956.988276342789</v>
      </c>
      <c r="AE13" s="1199">
        <f>+'Ingresos Proyecciones'!R17</f>
        <v>92515.267807396507</v>
      </c>
      <c r="AF13" s="1199">
        <f>+'Ingresos Proyecciones'!S17</f>
        <v>96215.878519692371</v>
      </c>
      <c r="AG13" s="1199">
        <f>+'Ingresos Proyecciones'!T17</f>
        <v>100064.51366048006</v>
      </c>
      <c r="AH13" s="1199">
        <f>+'Ingresos Proyecciones'!U17</f>
        <v>104067.09420689927</v>
      </c>
      <c r="AI13" s="1199">
        <f>+'Ingresos Proyecciones'!V17</f>
        <v>108229.77797517525</v>
      </c>
      <c r="AJ13" s="1199">
        <f>+'Ingresos Proyecciones'!W17</f>
        <v>112558.96909418226</v>
      </c>
    </row>
    <row r="14" spans="1:36">
      <c r="A14" s="776" t="str">
        <f>+Ingresos!A34</f>
        <v>1110216</v>
      </c>
      <c r="B14" s="777"/>
      <c r="C14" s="1198" t="s">
        <v>823</v>
      </c>
      <c r="D14" s="1199">
        <f t="shared" si="4"/>
        <v>0</v>
      </c>
      <c r="E14" s="1199">
        <f t="shared" si="5"/>
        <v>0</v>
      </c>
      <c r="F14" s="1165">
        <f t="shared" si="6"/>
        <v>0</v>
      </c>
      <c r="G14" s="1200"/>
      <c r="H14" s="1200"/>
      <c r="I14" s="1165">
        <f t="shared" si="7"/>
        <v>0</v>
      </c>
      <c r="J14" s="1165">
        <f t="shared" si="8"/>
        <v>0</v>
      </c>
      <c r="K14" s="1165">
        <f t="shared" si="9"/>
        <v>0</v>
      </c>
      <c r="L14" s="1165">
        <f>+Ingresos!C34</f>
        <v>0</v>
      </c>
      <c r="M14" s="1165">
        <f>+Ingresos!E34</f>
        <v>0</v>
      </c>
      <c r="N14" s="1165">
        <f>+Ingresos!H34</f>
        <v>0</v>
      </c>
      <c r="O14" s="1201"/>
      <c r="P14" s="1165" t="e">
        <f>+'Ingresos Proyecciones'!C18-('Ingresos Proyecciones'!C18*'Ley 617'!#REF!)</f>
        <v>#REF!</v>
      </c>
      <c r="Q14" s="1165" t="e">
        <f>+'Ingresos Proyecciones'!D18-('Ingresos Proyecciones'!D18*'Ley 617'!#REF!)</f>
        <v>#REF!</v>
      </c>
      <c r="R14" s="1165" t="e">
        <f>+'Ingresos Proyecciones'!E18-('Ingresos Proyecciones'!E18*'Ley 617'!#REF!)</f>
        <v>#REF!</v>
      </c>
      <c r="S14" s="1199" t="e">
        <f>+'Ingresos Proyecciones'!F18-('Ingresos Proyecciones'!F18*'Ley 617'!#REF!)</f>
        <v>#REF!</v>
      </c>
      <c r="T14" s="1199" t="e">
        <f>+'Ingresos Proyecciones'!G18-('Ingresos Proyecciones'!G18*'Ley 617'!#REF!)</f>
        <v>#REF!</v>
      </c>
      <c r="U14" s="1199" t="e">
        <f>+'Ingresos Proyecciones'!H18-('Ingresos Proyecciones'!H18*'Ley 617'!#REF!)</f>
        <v>#REF!</v>
      </c>
      <c r="V14" s="1199">
        <f>+'Ingresos Proyecciones'!I18</f>
        <v>0</v>
      </c>
      <c r="W14" s="1199">
        <f>+'Ingresos Proyecciones'!J18</f>
        <v>0</v>
      </c>
      <c r="X14" s="1199">
        <f>+'Ingresos Proyecciones'!K18</f>
        <v>0</v>
      </c>
      <c r="Y14" s="1199">
        <f>+'Ingresos Proyecciones'!L18</f>
        <v>0</v>
      </c>
      <c r="Z14" s="1199">
        <f>+'Ingresos Proyecciones'!M18</f>
        <v>12000</v>
      </c>
      <c r="AA14" s="1199">
        <f>+'Ingresos Proyecciones'!N18</f>
        <v>12480</v>
      </c>
      <c r="AB14" s="1199">
        <f>+'Ingresos Proyecciones'!O18</f>
        <v>12979.2</v>
      </c>
      <c r="AC14" s="1199">
        <f>+'Ingresos Proyecciones'!P18</f>
        <v>13498.368</v>
      </c>
      <c r="AD14" s="1199">
        <f>+'Ingresos Proyecciones'!Q18</f>
        <v>14038.302720000002</v>
      </c>
      <c r="AE14" s="1199">
        <f>+'Ingresos Proyecciones'!R18</f>
        <v>14599.834828800002</v>
      </c>
      <c r="AF14" s="1199">
        <f>+'Ingresos Proyecciones'!S18</f>
        <v>15183.828221952002</v>
      </c>
      <c r="AG14" s="1199">
        <f>+'Ingresos Proyecciones'!T18</f>
        <v>15791.181350830084</v>
      </c>
      <c r="AH14" s="1199">
        <f>+'Ingresos Proyecciones'!U18</f>
        <v>16422.828604863287</v>
      </c>
      <c r="AI14" s="1199">
        <f>+'Ingresos Proyecciones'!V18</f>
        <v>17079.741749057819</v>
      </c>
      <c r="AJ14" s="1199">
        <f>+'Ingresos Proyecciones'!W18</f>
        <v>17762.931419020133</v>
      </c>
    </row>
    <row r="15" spans="1:36">
      <c r="A15" s="776" t="str">
        <f>+Ingresos!A35</f>
        <v>1110208</v>
      </c>
      <c r="B15" s="777"/>
      <c r="C15" s="1198" t="s">
        <v>825</v>
      </c>
      <c r="D15" s="1199">
        <f t="shared" si="4"/>
        <v>200</v>
      </c>
      <c r="E15" s="1199">
        <f t="shared" si="5"/>
        <v>200</v>
      </c>
      <c r="F15" s="1165">
        <f t="shared" si="6"/>
        <v>0</v>
      </c>
      <c r="G15" s="1200"/>
      <c r="H15" s="1200"/>
      <c r="I15" s="1165">
        <f t="shared" si="7"/>
        <v>0</v>
      </c>
      <c r="J15" s="1165">
        <f t="shared" si="8"/>
        <v>0</v>
      </c>
      <c r="K15" s="1165">
        <f t="shared" si="9"/>
        <v>0</v>
      </c>
      <c r="L15" s="1165">
        <f>+Ingresos!C35</f>
        <v>200</v>
      </c>
      <c r="M15" s="1165">
        <f>+Ingresos!E35</f>
        <v>200</v>
      </c>
      <c r="N15" s="1165">
        <f>+Ingresos!H35</f>
        <v>0</v>
      </c>
      <c r="O15" s="1201"/>
      <c r="P15" s="1165" t="e">
        <f>+'Ingresos Proyecciones'!C19-('Ingresos Proyecciones'!C19*'Ley 617'!#REF!)</f>
        <v>#REF!</v>
      </c>
      <c r="Q15" s="1165" t="e">
        <f>+'Ingresos Proyecciones'!D19-('Ingresos Proyecciones'!D19*'Ley 617'!#REF!)</f>
        <v>#REF!</v>
      </c>
      <c r="R15" s="1165" t="e">
        <f>+'Ingresos Proyecciones'!E19-('Ingresos Proyecciones'!E19*'Ley 617'!#REF!)</f>
        <v>#REF!</v>
      </c>
      <c r="S15" s="1199" t="e">
        <f>+'Ingresos Proyecciones'!F19-('Ingresos Proyecciones'!F19*'Ley 617'!#REF!)</f>
        <v>#REF!</v>
      </c>
      <c r="T15" s="1199" t="e">
        <f>+'Ingresos Proyecciones'!G19-('Ingresos Proyecciones'!G19*'Ley 617'!#REF!)</f>
        <v>#REF!</v>
      </c>
      <c r="U15" s="1199" t="e">
        <f>+'Ingresos Proyecciones'!H19-('Ingresos Proyecciones'!H19*'Ley 617'!#REF!)</f>
        <v>#REF!</v>
      </c>
      <c r="V15" s="1199">
        <f>+'Ingresos Proyecciones'!I19</f>
        <v>225</v>
      </c>
      <c r="W15" s="1199">
        <f>+'Ingresos Proyecciones'!J19</f>
        <v>234</v>
      </c>
      <c r="X15" s="1199">
        <f>+'Ingresos Proyecciones'!K19</f>
        <v>243.36</v>
      </c>
      <c r="Y15" s="1199">
        <f>+'Ingresos Proyecciones'!L19</f>
        <v>253.09440000000004</v>
      </c>
      <c r="Z15" s="1199">
        <f>+'Ingresos Proyecciones'!M19</f>
        <v>263.21817600000003</v>
      </c>
      <c r="AA15" s="1199">
        <f>+'Ingresos Proyecciones'!N19</f>
        <v>273.74690304000006</v>
      </c>
      <c r="AB15" s="1199">
        <f>+'Ingresos Proyecciones'!O19</f>
        <v>284.69677916160009</v>
      </c>
      <c r="AC15" s="1199">
        <f>+'Ingresos Proyecciones'!P19</f>
        <v>296.08465032806413</v>
      </c>
      <c r="AD15" s="1199">
        <f>+'Ingresos Proyecciones'!Q19</f>
        <v>307.92803634118673</v>
      </c>
      <c r="AE15" s="1199">
        <f>+'Ingresos Proyecciones'!R19</f>
        <v>320.2451577948342</v>
      </c>
      <c r="AF15" s="1199">
        <f>+'Ingresos Proyecciones'!S19</f>
        <v>333.05496410662755</v>
      </c>
      <c r="AG15" s="1199">
        <f>+'Ingresos Proyecciones'!T19</f>
        <v>346.37716267089269</v>
      </c>
      <c r="AH15" s="1199">
        <f>+'Ingresos Proyecciones'!U19</f>
        <v>360.23224917772842</v>
      </c>
      <c r="AI15" s="1199">
        <f>+'Ingresos Proyecciones'!V19</f>
        <v>374.64153914483757</v>
      </c>
      <c r="AJ15" s="1199">
        <f>+'Ingresos Proyecciones'!W19</f>
        <v>389.62720071063109</v>
      </c>
    </row>
    <row r="16" spans="1:36">
      <c r="A16" s="776" t="str">
        <f>+Ingresos!A36</f>
        <v>1110211</v>
      </c>
      <c r="B16" s="777"/>
      <c r="C16" s="1198" t="s">
        <v>827</v>
      </c>
      <c r="D16" s="1199">
        <f t="shared" si="4"/>
        <v>3500</v>
      </c>
      <c r="E16" s="1199">
        <f t="shared" si="5"/>
        <v>3500</v>
      </c>
      <c r="F16" s="1165">
        <f t="shared" si="6"/>
        <v>0</v>
      </c>
      <c r="G16" s="1200"/>
      <c r="H16" s="1200"/>
      <c r="I16" s="1165">
        <f t="shared" si="7"/>
        <v>0</v>
      </c>
      <c r="J16" s="1165">
        <f t="shared" si="8"/>
        <v>0</v>
      </c>
      <c r="K16" s="1165">
        <f t="shared" si="9"/>
        <v>0</v>
      </c>
      <c r="L16" s="1165">
        <f>+Ingresos!C36</f>
        <v>3500</v>
      </c>
      <c r="M16" s="1165">
        <f>+Ingresos!E36</f>
        <v>3500</v>
      </c>
      <c r="N16" s="1165">
        <f>+Ingresos!H36</f>
        <v>0</v>
      </c>
      <c r="O16" s="1201"/>
      <c r="P16" s="1165" t="e">
        <f>+'Ingresos Proyecciones'!C20-('Ingresos Proyecciones'!C20*'Ley 617'!#REF!)</f>
        <v>#REF!</v>
      </c>
      <c r="Q16" s="1165" t="e">
        <f>+'Ingresos Proyecciones'!D20-('Ingresos Proyecciones'!D20*'Ley 617'!#REF!)</f>
        <v>#REF!</v>
      </c>
      <c r="R16" s="1165" t="e">
        <f>+'Ingresos Proyecciones'!E20-('Ingresos Proyecciones'!E20*'Ley 617'!#REF!)</f>
        <v>#REF!</v>
      </c>
      <c r="S16" s="1199" t="e">
        <f>+'Ingresos Proyecciones'!F20-('Ingresos Proyecciones'!F20*'Ley 617'!#REF!)</f>
        <v>#REF!</v>
      </c>
      <c r="T16" s="1199" t="e">
        <f>+'Ingresos Proyecciones'!G20-('Ingresos Proyecciones'!G20*'Ley 617'!#REF!)</f>
        <v>#REF!</v>
      </c>
      <c r="U16" s="1199" t="e">
        <f>+'Ingresos Proyecciones'!H20-('Ingresos Proyecciones'!H20*'Ley 617'!#REF!)</f>
        <v>#REF!</v>
      </c>
      <c r="V16" s="1199">
        <f>+'Ingresos Proyecciones'!I20</f>
        <v>3937</v>
      </c>
      <c r="W16" s="1199">
        <f>+'Ingresos Proyecciones'!J20</f>
        <v>4094.48</v>
      </c>
      <c r="X16" s="1199">
        <f>+'Ingresos Proyecciones'!K20</f>
        <v>4258.2592000000004</v>
      </c>
      <c r="Y16" s="1199">
        <f>+'Ingresos Proyecciones'!L20</f>
        <v>4428.5895680000003</v>
      </c>
      <c r="Z16" s="1199">
        <f>+'Ingresos Proyecciones'!M20</f>
        <v>4605.7331507200006</v>
      </c>
      <c r="AA16" s="1199">
        <f>+'Ingresos Proyecciones'!N20</f>
        <v>4789.9624767488003</v>
      </c>
      <c r="AB16" s="1199">
        <f>+'Ingresos Proyecciones'!O20</f>
        <v>4981.5609758187529</v>
      </c>
      <c r="AC16" s="1199">
        <f>+'Ingresos Proyecciones'!P20</f>
        <v>5180.823414851503</v>
      </c>
      <c r="AD16" s="1199">
        <f>+'Ingresos Proyecciones'!Q20</f>
        <v>5388.0563514455635</v>
      </c>
      <c r="AE16" s="1199">
        <f>+'Ingresos Proyecciones'!R20</f>
        <v>5603.5786055033859</v>
      </c>
      <c r="AF16" s="1199">
        <f>+'Ingresos Proyecciones'!S20</f>
        <v>5827.7217497235215</v>
      </c>
      <c r="AG16" s="1199">
        <f>+'Ingresos Proyecciones'!T20</f>
        <v>6060.830619712463</v>
      </c>
      <c r="AH16" s="1199">
        <f>+'Ingresos Proyecciones'!U20</f>
        <v>6303.2638445009616</v>
      </c>
      <c r="AI16" s="1199">
        <f>+'Ingresos Proyecciones'!V20</f>
        <v>6555.3943982810006</v>
      </c>
      <c r="AJ16" s="1199">
        <f>+'Ingresos Proyecciones'!W20</f>
        <v>6817.610174212241</v>
      </c>
    </row>
    <row r="17" spans="1:36">
      <c r="A17" s="776" t="str">
        <f>+Ingresos!A37</f>
        <v>1110206</v>
      </c>
      <c r="B17" s="777"/>
      <c r="C17" s="1198" t="s">
        <v>906</v>
      </c>
      <c r="D17" s="1199">
        <f t="shared" si="4"/>
        <v>6000</v>
      </c>
      <c r="E17" s="1199">
        <f t="shared" si="5"/>
        <v>6000</v>
      </c>
      <c r="F17" s="1165">
        <f t="shared" si="6"/>
        <v>0</v>
      </c>
      <c r="G17" s="1200"/>
      <c r="H17" s="1200"/>
      <c r="I17" s="1165">
        <f t="shared" si="7"/>
        <v>0</v>
      </c>
      <c r="J17" s="1165">
        <f t="shared" si="8"/>
        <v>0</v>
      </c>
      <c r="K17" s="1165">
        <f t="shared" si="9"/>
        <v>0</v>
      </c>
      <c r="L17" s="1165">
        <f>+Ingresos!C37</f>
        <v>6000</v>
      </c>
      <c r="M17" s="1165">
        <f>+Ingresos!E37</f>
        <v>6000</v>
      </c>
      <c r="N17" s="1165">
        <f>+Ingresos!H37</f>
        <v>0</v>
      </c>
      <c r="O17" s="1201"/>
      <c r="P17" s="1165" t="e">
        <f>+'Ingresos Proyecciones'!C21-('Ingresos Proyecciones'!C21*'Ley 617'!#REF!)</f>
        <v>#REF!</v>
      </c>
      <c r="Q17" s="1165" t="e">
        <f>+'Ingresos Proyecciones'!D21-('Ingresos Proyecciones'!D21*'Ley 617'!#REF!)</f>
        <v>#REF!</v>
      </c>
      <c r="R17" s="1165" t="e">
        <f>+'Ingresos Proyecciones'!E21-('Ingresos Proyecciones'!E21*'Ley 617'!#REF!)</f>
        <v>#REF!</v>
      </c>
      <c r="S17" s="1199" t="e">
        <f>+'Ingresos Proyecciones'!F21-('Ingresos Proyecciones'!F21*'Ley 617'!#REF!)</f>
        <v>#REF!</v>
      </c>
      <c r="T17" s="1199" t="e">
        <f>+'Ingresos Proyecciones'!G21-('Ingresos Proyecciones'!G21*'Ley 617'!#REF!)</f>
        <v>#REF!</v>
      </c>
      <c r="U17" s="1199" t="e">
        <f>+'Ingresos Proyecciones'!H21-('Ingresos Proyecciones'!H21*'Ley 617'!#REF!)</f>
        <v>#REF!</v>
      </c>
      <c r="V17" s="1199">
        <f>+'Ingresos Proyecciones'!I21</f>
        <v>6749</v>
      </c>
      <c r="W17" s="1199">
        <f>+'Ingresos Proyecciones'!J21</f>
        <v>7018.96</v>
      </c>
      <c r="X17" s="1199">
        <f>+'Ingresos Proyecciones'!K21</f>
        <v>7299.7184000000007</v>
      </c>
      <c r="Y17" s="1199">
        <f>+'Ingresos Proyecciones'!L21</f>
        <v>7591.7071360000009</v>
      </c>
      <c r="Z17" s="1199">
        <f>+'Ingresos Proyecciones'!M21</f>
        <v>7895.3754214400014</v>
      </c>
      <c r="AA17" s="1199">
        <f>+'Ingresos Proyecciones'!N21</f>
        <v>8211.1904382976027</v>
      </c>
      <c r="AB17" s="1199">
        <f>+'Ingresos Proyecciones'!O21</f>
        <v>8539.6380558295077</v>
      </c>
      <c r="AC17" s="1199">
        <f>+'Ingresos Proyecciones'!P21</f>
        <v>8881.2235780626888</v>
      </c>
      <c r="AD17" s="1199">
        <f>+'Ingresos Proyecciones'!Q21</f>
        <v>9236.4725211851965</v>
      </c>
      <c r="AE17" s="1199">
        <f>+'Ingresos Proyecciones'!R21</f>
        <v>9605.931422032605</v>
      </c>
      <c r="AF17" s="1199">
        <f>+'Ingresos Proyecciones'!S21</f>
        <v>9990.1686789139094</v>
      </c>
      <c r="AG17" s="1199">
        <f>+'Ingresos Proyecciones'!T21</f>
        <v>10389.775426070466</v>
      </c>
      <c r="AH17" s="1199">
        <f>+'Ingresos Proyecciones'!U21</f>
        <v>10805.366443113286</v>
      </c>
      <c r="AI17" s="1199">
        <f>+'Ingresos Proyecciones'!V21</f>
        <v>11237.581100837817</v>
      </c>
      <c r="AJ17" s="1199">
        <f>+'Ingresos Proyecciones'!W21</f>
        <v>11687.084344871329</v>
      </c>
    </row>
    <row r="18" spans="1:36">
      <c r="A18" s="776" t="str">
        <f>+Ingresos!A38</f>
        <v>1110212</v>
      </c>
      <c r="B18" s="777"/>
      <c r="C18" s="1198" t="s">
        <v>830</v>
      </c>
      <c r="D18" s="1199">
        <f t="shared" si="4"/>
        <v>700</v>
      </c>
      <c r="E18" s="1199">
        <f t="shared" si="5"/>
        <v>700</v>
      </c>
      <c r="F18" s="1165">
        <f t="shared" si="6"/>
        <v>0</v>
      </c>
      <c r="G18" s="1200"/>
      <c r="H18" s="1200"/>
      <c r="I18" s="1165">
        <f t="shared" si="7"/>
        <v>0</v>
      </c>
      <c r="J18" s="1165">
        <f t="shared" si="8"/>
        <v>0</v>
      </c>
      <c r="K18" s="1165">
        <f t="shared" si="9"/>
        <v>0</v>
      </c>
      <c r="L18" s="1165">
        <f>+Ingresos!C38</f>
        <v>700</v>
      </c>
      <c r="M18" s="1165">
        <f>+Ingresos!E38</f>
        <v>700</v>
      </c>
      <c r="N18" s="1165">
        <f>+Ingresos!H38</f>
        <v>0</v>
      </c>
      <c r="O18" s="1201"/>
      <c r="P18" s="1165" t="e">
        <f>+'Ingresos Proyecciones'!C22-('Ingresos Proyecciones'!C22*'Ley 617'!#REF!)</f>
        <v>#REF!</v>
      </c>
      <c r="Q18" s="1165" t="e">
        <f>+'Ingresos Proyecciones'!D22-('Ingresos Proyecciones'!D22*'Ley 617'!#REF!)</f>
        <v>#REF!</v>
      </c>
      <c r="R18" s="1165" t="e">
        <f>+'Ingresos Proyecciones'!E22-('Ingresos Proyecciones'!E22*'Ley 617'!#REF!)</f>
        <v>#REF!</v>
      </c>
      <c r="S18" s="1199" t="e">
        <f>+'Ingresos Proyecciones'!F22-('Ingresos Proyecciones'!F22*'Ley 617'!#REF!)</f>
        <v>#REF!</v>
      </c>
      <c r="T18" s="1199" t="e">
        <f>+'Ingresos Proyecciones'!G22-('Ingresos Proyecciones'!G22*'Ley 617'!#REF!)</f>
        <v>#REF!</v>
      </c>
      <c r="U18" s="1199" t="e">
        <f>+'Ingresos Proyecciones'!H22-('Ingresos Proyecciones'!H22*'Ley 617'!#REF!)</f>
        <v>#REF!</v>
      </c>
      <c r="V18" s="1199">
        <f>+'Ingresos Proyecciones'!I22</f>
        <v>787</v>
      </c>
      <c r="W18" s="1199">
        <f>+'Ingresos Proyecciones'!J22</f>
        <v>818.48</v>
      </c>
      <c r="X18" s="1199">
        <f>+'Ingresos Proyecciones'!K22</f>
        <v>851.2192</v>
      </c>
      <c r="Y18" s="1199">
        <f>+'Ingresos Proyecciones'!L22</f>
        <v>885.267968</v>
      </c>
      <c r="Z18" s="1199">
        <f>+'Ingresos Proyecciones'!M22</f>
        <v>920.67868671999997</v>
      </c>
      <c r="AA18" s="1199">
        <f>+'Ingresos Proyecciones'!N22</f>
        <v>957.50583418880001</v>
      </c>
      <c r="AB18" s="1199">
        <f>+'Ingresos Proyecciones'!O22</f>
        <v>995.80606755635199</v>
      </c>
      <c r="AC18" s="1199">
        <f>+'Ingresos Proyecciones'!P22</f>
        <v>1035.638310258606</v>
      </c>
      <c r="AD18" s="1199">
        <f>+'Ingresos Proyecciones'!Q22</f>
        <v>1077.0638426689502</v>
      </c>
      <c r="AE18" s="1199">
        <f>+'Ingresos Proyecciones'!R22</f>
        <v>1120.1463963757083</v>
      </c>
      <c r="AF18" s="1199">
        <f>+'Ingresos Proyecciones'!S22</f>
        <v>1164.9522522307366</v>
      </c>
      <c r="AG18" s="1199">
        <f>+'Ingresos Proyecciones'!T22</f>
        <v>1211.5503423199661</v>
      </c>
      <c r="AH18" s="1199">
        <f>+'Ingresos Proyecciones'!U22</f>
        <v>1260.0123560127649</v>
      </c>
      <c r="AI18" s="1199">
        <f>+'Ingresos Proyecciones'!V22</f>
        <v>1310.4128502532756</v>
      </c>
      <c r="AJ18" s="1199">
        <f>+'Ingresos Proyecciones'!W22</f>
        <v>1362.8293642634067</v>
      </c>
    </row>
    <row r="19" spans="1:36" ht="22.5">
      <c r="A19" s="776" t="str">
        <f>+Ingresos!A39</f>
        <v>1110207</v>
      </c>
      <c r="B19" s="777"/>
      <c r="C19" s="1198" t="s">
        <v>910</v>
      </c>
      <c r="D19" s="1199">
        <f t="shared" si="4"/>
        <v>2000</v>
      </c>
      <c r="E19" s="1199">
        <f t="shared" si="5"/>
        <v>2000</v>
      </c>
      <c r="F19" s="1165">
        <f t="shared" si="6"/>
        <v>0</v>
      </c>
      <c r="G19" s="1200"/>
      <c r="H19" s="1200"/>
      <c r="I19" s="1165">
        <f t="shared" si="7"/>
        <v>0</v>
      </c>
      <c r="J19" s="1165">
        <f t="shared" si="8"/>
        <v>0</v>
      </c>
      <c r="K19" s="1165">
        <f t="shared" si="9"/>
        <v>0</v>
      </c>
      <c r="L19" s="1165">
        <f>+Ingresos!C39</f>
        <v>2000</v>
      </c>
      <c r="M19" s="1165">
        <f>+Ingresos!E39</f>
        <v>2000</v>
      </c>
      <c r="N19" s="1165">
        <f>+Ingresos!H39</f>
        <v>0</v>
      </c>
      <c r="O19" s="1201"/>
      <c r="P19" s="1165" t="e">
        <f>+'Ingresos Proyecciones'!C23-('Ingresos Proyecciones'!C23*'Ley 617'!#REF!)</f>
        <v>#REF!</v>
      </c>
      <c r="Q19" s="1165" t="e">
        <f>+'Ingresos Proyecciones'!D23-('Ingresos Proyecciones'!D23*'Ley 617'!#REF!)</f>
        <v>#REF!</v>
      </c>
      <c r="R19" s="1165" t="e">
        <f>+'Ingresos Proyecciones'!E23-('Ingresos Proyecciones'!E23*'Ley 617'!#REF!)</f>
        <v>#REF!</v>
      </c>
      <c r="S19" s="1199" t="e">
        <f>+'Ingresos Proyecciones'!F23-('Ingresos Proyecciones'!F23*'Ley 617'!#REF!)</f>
        <v>#REF!</v>
      </c>
      <c r="T19" s="1199" t="e">
        <f>+'Ingresos Proyecciones'!G23-('Ingresos Proyecciones'!G23*'Ley 617'!#REF!)</f>
        <v>#REF!</v>
      </c>
      <c r="U19" s="1199" t="e">
        <f>+'Ingresos Proyecciones'!H23-('Ingresos Proyecciones'!H23*'Ley 617'!#REF!)</f>
        <v>#REF!</v>
      </c>
      <c r="V19" s="1199">
        <f>+'Ingresos Proyecciones'!I23</f>
        <v>2250</v>
      </c>
      <c r="W19" s="1199">
        <f>+'Ingresos Proyecciones'!J23</f>
        <v>2340</v>
      </c>
      <c r="X19" s="1199">
        <f>+'Ingresos Proyecciones'!K23</f>
        <v>2433.6</v>
      </c>
      <c r="Y19" s="1199">
        <f>+'Ingresos Proyecciones'!L23</f>
        <v>2530.944</v>
      </c>
      <c r="Z19" s="1199">
        <f>+'Ingresos Proyecciones'!M23</f>
        <v>2632.1817599999999</v>
      </c>
      <c r="AA19" s="1199">
        <f>+'Ingresos Proyecciones'!N23</f>
        <v>2737.4690304000001</v>
      </c>
      <c r="AB19" s="1199">
        <f>+'Ingresos Proyecciones'!O23</f>
        <v>2846.9677916160003</v>
      </c>
      <c r="AC19" s="1199">
        <f>+'Ingresos Proyecciones'!P23</f>
        <v>2960.8465032806403</v>
      </c>
      <c r="AD19" s="1199">
        <f>+'Ingresos Proyecciones'!Q23</f>
        <v>3079.2803634118659</v>
      </c>
      <c r="AE19" s="1199">
        <f>+'Ingresos Proyecciones'!R23</f>
        <v>3202.4515779483409</v>
      </c>
      <c r="AF19" s="1199">
        <f>+'Ingresos Proyecciones'!S23</f>
        <v>3330.5496410662745</v>
      </c>
      <c r="AG19" s="1199">
        <f>+'Ingresos Proyecciones'!T23</f>
        <v>3463.7716267089254</v>
      </c>
      <c r="AH19" s="1199">
        <f>+'Ingresos Proyecciones'!U23</f>
        <v>3602.3224917772827</v>
      </c>
      <c r="AI19" s="1199">
        <f>+'Ingresos Proyecciones'!V23</f>
        <v>3746.4153914483741</v>
      </c>
      <c r="AJ19" s="1199">
        <f>+'Ingresos Proyecciones'!W23</f>
        <v>3896.272007106309</v>
      </c>
    </row>
    <row r="20" spans="1:36">
      <c r="A20" s="776" t="str">
        <f>+Ingresos!A40</f>
        <v>1120103</v>
      </c>
      <c r="B20" s="777"/>
      <c r="C20" s="1198" t="s">
        <v>907</v>
      </c>
      <c r="D20" s="1199">
        <f t="shared" si="4"/>
        <v>1000</v>
      </c>
      <c r="E20" s="1199">
        <f t="shared" si="5"/>
        <v>1000</v>
      </c>
      <c r="F20" s="1165">
        <f t="shared" si="6"/>
        <v>0</v>
      </c>
      <c r="G20" s="1200"/>
      <c r="H20" s="1200"/>
      <c r="I20" s="1165">
        <f t="shared" si="7"/>
        <v>0</v>
      </c>
      <c r="J20" s="1165">
        <f t="shared" si="8"/>
        <v>0</v>
      </c>
      <c r="K20" s="1165">
        <f t="shared" si="9"/>
        <v>0</v>
      </c>
      <c r="L20" s="1165">
        <f>+Ingresos!C40</f>
        <v>1000</v>
      </c>
      <c r="M20" s="1165">
        <f>+Ingresos!E40</f>
        <v>1000</v>
      </c>
      <c r="N20" s="1165">
        <f>+Ingresos!H40</f>
        <v>0</v>
      </c>
      <c r="O20" s="1201"/>
      <c r="P20" s="1165" t="e">
        <f>+'Ingresos Proyecciones'!C25-('Ingresos Proyecciones'!C25*'Ley 617'!#REF!)</f>
        <v>#REF!</v>
      </c>
      <c r="Q20" s="1165" t="e">
        <f>+'Ingresos Proyecciones'!D25-('Ingresos Proyecciones'!D25*'Ley 617'!#REF!)</f>
        <v>#REF!</v>
      </c>
      <c r="R20" s="1165" t="e">
        <f>+'Ingresos Proyecciones'!E25-('Ingresos Proyecciones'!E25*'Ley 617'!#REF!)</f>
        <v>#REF!</v>
      </c>
      <c r="S20" s="1199" t="e">
        <f>+'Ingresos Proyecciones'!F25-('Ingresos Proyecciones'!F25*'Ley 617'!#REF!)</f>
        <v>#REF!</v>
      </c>
      <c r="T20" s="1199" t="e">
        <f>+'Ingresos Proyecciones'!G25-('Ingresos Proyecciones'!G25*'Ley 617'!#REF!)</f>
        <v>#REF!</v>
      </c>
      <c r="U20" s="1199" t="e">
        <f>+'Ingresos Proyecciones'!H25-('Ingresos Proyecciones'!H25*'Ley 617'!#REF!)</f>
        <v>#REF!</v>
      </c>
      <c r="V20" s="1199">
        <f>+'Ingresos Proyecciones'!I25</f>
        <v>1125</v>
      </c>
      <c r="W20" s="1199">
        <f>+'Ingresos Proyecciones'!J25</f>
        <v>1170</v>
      </c>
      <c r="X20" s="1199">
        <f>+'Ingresos Proyecciones'!K25</f>
        <v>1216.8</v>
      </c>
      <c r="Y20" s="1199">
        <f>+'Ingresos Proyecciones'!L25</f>
        <v>1265.472</v>
      </c>
      <c r="Z20" s="1199">
        <f>+'Ingresos Proyecciones'!M25</f>
        <v>1316.09088</v>
      </c>
      <c r="AA20" s="1199">
        <f>+'Ingresos Proyecciones'!N25</f>
        <v>1368.7345152</v>
      </c>
      <c r="AB20" s="1199">
        <f>+'Ingresos Proyecciones'!O25</f>
        <v>1423.4838958080002</v>
      </c>
      <c r="AC20" s="1199">
        <f>+'Ingresos Proyecciones'!P25</f>
        <v>1480.4232516403201</v>
      </c>
      <c r="AD20" s="1199">
        <f>+'Ingresos Proyecciones'!Q25</f>
        <v>1539.6401817059329</v>
      </c>
      <c r="AE20" s="1199">
        <f>+'Ingresos Proyecciones'!R25</f>
        <v>1601.2257889741704</v>
      </c>
      <c r="AF20" s="1199">
        <f>+'Ingresos Proyecciones'!S25</f>
        <v>1665.2748205331372</v>
      </c>
      <c r="AG20" s="1199">
        <f>+'Ingresos Proyecciones'!T25</f>
        <v>1731.8858133544627</v>
      </c>
      <c r="AH20" s="1199">
        <f>+'Ingresos Proyecciones'!U25</f>
        <v>1801.1612458886414</v>
      </c>
      <c r="AI20" s="1199">
        <f>+'Ingresos Proyecciones'!V25</f>
        <v>1873.207695724187</v>
      </c>
      <c r="AJ20" s="1199">
        <f>+'Ingresos Proyecciones'!W25</f>
        <v>1948.1360035531545</v>
      </c>
    </row>
    <row r="21" spans="1:36">
      <c r="A21" s="776" t="str">
        <f>+Ingresos!A42</f>
        <v>1110217</v>
      </c>
      <c r="B21" s="777"/>
      <c r="C21" s="1198" t="s">
        <v>836</v>
      </c>
      <c r="D21" s="1202">
        <f>SUM(D22:D24)</f>
        <v>0</v>
      </c>
      <c r="E21" s="1202">
        <f>SUM(E22:E24)</f>
        <v>0</v>
      </c>
      <c r="F21" s="1203">
        <f>SUM(F22:F24)</f>
        <v>0</v>
      </c>
      <c r="G21" s="1200"/>
      <c r="H21" s="1204"/>
      <c r="I21" s="1203">
        <f>SUM(I22:I24)</f>
        <v>28689</v>
      </c>
      <c r="J21" s="1203">
        <f>SUM(J22:J24)</f>
        <v>28689</v>
      </c>
      <c r="K21" s="1203">
        <f>SUM(K22:K24)</f>
        <v>0</v>
      </c>
      <c r="L21" s="1162">
        <f>+Ingresos!C42</f>
        <v>28689</v>
      </c>
      <c r="M21" s="1162">
        <f>+Ingresos!E42</f>
        <v>28689</v>
      </c>
      <c r="N21" s="1162">
        <f>+Ingresos!H42</f>
        <v>0</v>
      </c>
      <c r="O21" s="1192"/>
      <c r="P21" s="1203" t="e">
        <f t="shared" ref="P21:U21" si="10">SUM(P22:P24)</f>
        <v>#REF!</v>
      </c>
      <c r="Q21" s="1203" t="e">
        <f t="shared" si="10"/>
        <v>#REF!</v>
      </c>
      <c r="R21" s="1203" t="e">
        <f t="shared" si="10"/>
        <v>#REF!</v>
      </c>
      <c r="S21" s="1202" t="e">
        <f t="shared" si="10"/>
        <v>#REF!</v>
      </c>
      <c r="T21" s="1202" t="e">
        <f t="shared" si="10"/>
        <v>#REF!</v>
      </c>
      <c r="U21" s="1202" t="e">
        <f t="shared" si="10"/>
        <v>#REF!</v>
      </c>
      <c r="V21" s="1199">
        <f>+'Ingresos Proyecciones'!I27</f>
        <v>32271</v>
      </c>
      <c r="W21" s="1199">
        <v>0</v>
      </c>
      <c r="X21" s="1199">
        <v>0</v>
      </c>
      <c r="Y21" s="1199">
        <v>0</v>
      </c>
      <c r="Z21" s="1199">
        <v>0</v>
      </c>
      <c r="AA21" s="1199">
        <v>0</v>
      </c>
      <c r="AB21" s="1199">
        <v>0</v>
      </c>
      <c r="AC21" s="1199">
        <v>0</v>
      </c>
      <c r="AD21" s="1199">
        <v>0</v>
      </c>
      <c r="AE21" s="1199">
        <v>0</v>
      </c>
      <c r="AF21" s="1199">
        <v>0</v>
      </c>
      <c r="AG21" s="1199">
        <v>0</v>
      </c>
      <c r="AH21" s="1199">
        <v>0</v>
      </c>
      <c r="AI21" s="1199">
        <v>0</v>
      </c>
      <c r="AJ21" s="1199">
        <v>0</v>
      </c>
    </row>
    <row r="22" spans="1:36">
      <c r="A22" s="776" t="str">
        <f>+Ingresos!A43</f>
        <v>111021701</v>
      </c>
      <c r="B22" s="777"/>
      <c r="C22" s="1198" t="str">
        <f>+'Ingresos Proyecciones'!B28</f>
        <v xml:space="preserve">   Estampilla Pro-Cultura</v>
      </c>
      <c r="D22" s="1199">
        <f t="shared" ref="D22:F24" si="11">+L22-I22</f>
        <v>0</v>
      </c>
      <c r="E22" s="1199">
        <f t="shared" si="11"/>
        <v>0</v>
      </c>
      <c r="F22" s="1165">
        <f t="shared" si="11"/>
        <v>0</v>
      </c>
      <c r="G22" s="1200">
        <v>1</v>
      </c>
      <c r="H22" s="1200"/>
      <c r="I22" s="1165">
        <f t="shared" ref="I22:K24" si="12">+$G22*L22</f>
        <v>9731</v>
      </c>
      <c r="J22" s="1165">
        <f t="shared" si="12"/>
        <v>9731</v>
      </c>
      <c r="K22" s="1165">
        <f t="shared" si="12"/>
        <v>0</v>
      </c>
      <c r="L22" s="1165">
        <f>+Ingresos!C43</f>
        <v>9731</v>
      </c>
      <c r="M22" s="1165">
        <f>+Ingresos!E43</f>
        <v>9731</v>
      </c>
      <c r="N22" s="1165">
        <f>+Ingresos!H43</f>
        <v>0</v>
      </c>
      <c r="O22" s="1201"/>
      <c r="P22" s="1165" t="e">
        <f>+'Ingresos Proyecciones'!C28-('Ingresos Proyecciones'!C28*'Ley 617'!#REF!)</f>
        <v>#REF!</v>
      </c>
      <c r="Q22" s="1165" t="e">
        <f>+'Ingresos Proyecciones'!D28-('Ingresos Proyecciones'!D28*'Ley 617'!#REF!)</f>
        <v>#REF!</v>
      </c>
      <c r="R22" s="1165" t="e">
        <f>+'Ingresos Proyecciones'!E28-('Ingresos Proyecciones'!E28*'Ley 617'!#REF!)</f>
        <v>#REF!</v>
      </c>
      <c r="S22" s="1199" t="e">
        <f>+'Ingresos Proyecciones'!F28-('Ingresos Proyecciones'!F28*'Ley 617'!#REF!)</f>
        <v>#REF!</v>
      </c>
      <c r="T22" s="1199" t="e">
        <f>+'Ingresos Proyecciones'!G28-('Ingresos Proyecciones'!G28*'Ley 617'!#REF!)</f>
        <v>#REF!</v>
      </c>
      <c r="U22" s="1199" t="e">
        <f>+'Ingresos Proyecciones'!H28-('Ingresos Proyecciones'!H28*'Ley 617'!#REF!)</f>
        <v>#REF!</v>
      </c>
      <c r="V22" s="1199">
        <v>0</v>
      </c>
      <c r="W22" s="1199">
        <v>0</v>
      </c>
      <c r="X22" s="1199">
        <v>0</v>
      </c>
      <c r="Y22" s="1199">
        <v>0</v>
      </c>
      <c r="Z22" s="1199">
        <v>0</v>
      </c>
      <c r="AA22" s="1199">
        <v>0</v>
      </c>
      <c r="AB22" s="1199">
        <v>0</v>
      </c>
      <c r="AC22" s="1199">
        <v>0</v>
      </c>
      <c r="AD22" s="1199">
        <v>0</v>
      </c>
      <c r="AE22" s="1199">
        <v>0</v>
      </c>
      <c r="AF22" s="1199">
        <v>0</v>
      </c>
      <c r="AG22" s="1199">
        <v>0</v>
      </c>
      <c r="AH22" s="1199">
        <v>0</v>
      </c>
      <c r="AI22" s="1199">
        <v>0</v>
      </c>
      <c r="AJ22" s="1199">
        <v>0</v>
      </c>
    </row>
    <row r="23" spans="1:36">
      <c r="A23" s="776" t="str">
        <f>+Ingresos!A44</f>
        <v>111021702</v>
      </c>
      <c r="B23" s="777"/>
      <c r="C23" s="1198" t="str">
        <f>+'Ingresos Proyecciones'!B29</f>
        <v xml:space="preserve">   Estampilla Pro-Deporte</v>
      </c>
      <c r="D23" s="1199">
        <f t="shared" si="11"/>
        <v>0</v>
      </c>
      <c r="E23" s="1199">
        <f t="shared" si="11"/>
        <v>0</v>
      </c>
      <c r="F23" s="1165">
        <f t="shared" si="11"/>
        <v>0</v>
      </c>
      <c r="G23" s="1200">
        <v>1</v>
      </c>
      <c r="H23" s="1200"/>
      <c r="I23" s="1165">
        <f t="shared" si="12"/>
        <v>9490</v>
      </c>
      <c r="J23" s="1165">
        <f t="shared" si="12"/>
        <v>9490</v>
      </c>
      <c r="K23" s="1165">
        <f t="shared" si="12"/>
        <v>0</v>
      </c>
      <c r="L23" s="1165">
        <f>+Ingresos!C44</f>
        <v>9490</v>
      </c>
      <c r="M23" s="1165">
        <f>+Ingresos!E44</f>
        <v>9490</v>
      </c>
      <c r="N23" s="1165">
        <f>+Ingresos!H44</f>
        <v>0</v>
      </c>
      <c r="O23" s="1201"/>
      <c r="P23" s="1165" t="e">
        <f>+'Ingresos Proyecciones'!C29-('Ingresos Proyecciones'!C29*'Ley 617'!#REF!)</f>
        <v>#REF!</v>
      </c>
      <c r="Q23" s="1165" t="e">
        <f>+'Ingresos Proyecciones'!D29-('Ingresos Proyecciones'!D29*'Ley 617'!#REF!)</f>
        <v>#REF!</v>
      </c>
      <c r="R23" s="1165" t="e">
        <f>+'Ingresos Proyecciones'!E29-('Ingresos Proyecciones'!E29*'Ley 617'!#REF!)</f>
        <v>#REF!</v>
      </c>
      <c r="S23" s="1199" t="e">
        <f>+'Ingresos Proyecciones'!F29-('Ingresos Proyecciones'!F29*'Ley 617'!#REF!)</f>
        <v>#REF!</v>
      </c>
      <c r="T23" s="1199" t="e">
        <f>+'Ingresos Proyecciones'!G29-('Ingresos Proyecciones'!G29*'Ley 617'!#REF!)</f>
        <v>#REF!</v>
      </c>
      <c r="U23" s="1199" t="e">
        <f>+'Ingresos Proyecciones'!H29-('Ingresos Proyecciones'!H29*'Ley 617'!#REF!)</f>
        <v>#REF!</v>
      </c>
      <c r="V23" s="1199">
        <v>0</v>
      </c>
      <c r="W23" s="1199">
        <v>0</v>
      </c>
      <c r="X23" s="1199">
        <v>0</v>
      </c>
      <c r="Y23" s="1199">
        <v>0</v>
      </c>
      <c r="Z23" s="1199">
        <v>0</v>
      </c>
      <c r="AA23" s="1199">
        <v>0</v>
      </c>
      <c r="AB23" s="1199">
        <v>0</v>
      </c>
      <c r="AC23" s="1199">
        <v>0</v>
      </c>
      <c r="AD23" s="1199">
        <v>0</v>
      </c>
      <c r="AE23" s="1199">
        <v>0</v>
      </c>
      <c r="AF23" s="1199">
        <v>0</v>
      </c>
      <c r="AG23" s="1199">
        <v>0</v>
      </c>
      <c r="AH23" s="1199">
        <v>0</v>
      </c>
      <c r="AI23" s="1199">
        <v>0</v>
      </c>
      <c r="AJ23" s="1199">
        <v>0</v>
      </c>
    </row>
    <row r="24" spans="1:36">
      <c r="A24" s="776" t="str">
        <f>+Ingresos!A45</f>
        <v>111021703</v>
      </c>
      <c r="B24" s="777"/>
      <c r="C24" s="1198" t="str">
        <f>+'Ingresos Proyecciones'!B30</f>
        <v xml:space="preserve">   Estampilla Pro-Electrificacion Rural</v>
      </c>
      <c r="D24" s="1199">
        <f t="shared" si="11"/>
        <v>0</v>
      </c>
      <c r="E24" s="1199">
        <f t="shared" si="11"/>
        <v>0</v>
      </c>
      <c r="F24" s="1165">
        <f t="shared" si="11"/>
        <v>0</v>
      </c>
      <c r="G24" s="1200">
        <v>1</v>
      </c>
      <c r="H24" s="1200"/>
      <c r="I24" s="1165">
        <f t="shared" si="12"/>
        <v>9468</v>
      </c>
      <c r="J24" s="1165">
        <f t="shared" si="12"/>
        <v>9468</v>
      </c>
      <c r="K24" s="1165">
        <f t="shared" si="12"/>
        <v>0</v>
      </c>
      <c r="L24" s="1165">
        <f>+Ingresos!C45</f>
        <v>9468</v>
      </c>
      <c r="M24" s="1165">
        <f>+Ingresos!E45</f>
        <v>9468</v>
      </c>
      <c r="N24" s="1165">
        <f>+Ingresos!H45</f>
        <v>0</v>
      </c>
      <c r="O24" s="1201"/>
      <c r="P24" s="1165" t="e">
        <f>+'Ingresos Proyecciones'!C30-('Ingresos Proyecciones'!C30*'Ley 617'!#REF!)</f>
        <v>#REF!</v>
      </c>
      <c r="Q24" s="1165" t="e">
        <f>+'Ingresos Proyecciones'!D30-('Ingresos Proyecciones'!D30*'Ley 617'!#REF!)</f>
        <v>#REF!</v>
      </c>
      <c r="R24" s="1165" t="e">
        <f>+'Ingresos Proyecciones'!E30-('Ingresos Proyecciones'!E30*'Ley 617'!#REF!)</f>
        <v>#REF!</v>
      </c>
      <c r="S24" s="1199" t="e">
        <f>+'Ingresos Proyecciones'!F30-('Ingresos Proyecciones'!F30*'Ley 617'!#REF!)</f>
        <v>#REF!</v>
      </c>
      <c r="T24" s="1199" t="e">
        <f>+'Ingresos Proyecciones'!G30-('Ingresos Proyecciones'!G30*'Ley 617'!#REF!)</f>
        <v>#REF!</v>
      </c>
      <c r="U24" s="1199" t="e">
        <f>+'Ingresos Proyecciones'!H30-('Ingresos Proyecciones'!H30*'Ley 617'!#REF!)</f>
        <v>#REF!</v>
      </c>
      <c r="V24" s="1199">
        <v>0</v>
      </c>
      <c r="W24" s="1199">
        <v>0</v>
      </c>
      <c r="X24" s="1199">
        <v>0</v>
      </c>
      <c r="Y24" s="1199">
        <v>0</v>
      </c>
      <c r="Z24" s="1199">
        <v>0</v>
      </c>
      <c r="AA24" s="1199">
        <v>0</v>
      </c>
      <c r="AB24" s="1199">
        <v>0</v>
      </c>
      <c r="AC24" s="1199">
        <v>0</v>
      </c>
      <c r="AD24" s="1199">
        <v>0</v>
      </c>
      <c r="AE24" s="1199">
        <v>0</v>
      </c>
      <c r="AF24" s="1199">
        <v>0</v>
      </c>
      <c r="AG24" s="1199">
        <v>0</v>
      </c>
      <c r="AH24" s="1199">
        <v>0</v>
      </c>
      <c r="AI24" s="1199">
        <v>0</v>
      </c>
      <c r="AJ24" s="1199">
        <v>0</v>
      </c>
    </row>
    <row r="25" spans="1:36">
      <c r="A25" s="776" t="str">
        <f>+Ingresos!A50</f>
        <v>112</v>
      </c>
      <c r="B25" s="777"/>
      <c r="C25" s="1198" t="s">
        <v>851</v>
      </c>
      <c r="D25" s="1194" t="e">
        <f>SUM(D26:D27)+D28+D56+D52</f>
        <v>#REF!</v>
      </c>
      <c r="E25" s="1194" t="e">
        <f>SUM(E26:E27)+E28+E56+E52</f>
        <v>#REF!</v>
      </c>
      <c r="F25" s="1162" t="e">
        <f>SUM(F26:F27)+F28+F56+F52</f>
        <v>#REF!</v>
      </c>
      <c r="G25" s="1200"/>
      <c r="H25" s="1200"/>
      <c r="I25" s="1162" t="e">
        <f>SUM(I26:I27)+I28+I56+I52</f>
        <v>#REF!</v>
      </c>
      <c r="J25" s="1162" t="e">
        <f>SUM(J26:J27)+J28+J56+J52</f>
        <v>#REF!</v>
      </c>
      <c r="K25" s="1162" t="e">
        <f>SUM(K26:K27)+K28+K56+K52</f>
        <v>#REF!</v>
      </c>
      <c r="L25" s="1162">
        <f>+Ingresos!C50</f>
        <v>6502952</v>
      </c>
      <c r="M25" s="1162">
        <f>+Ingresos!E50</f>
        <v>6502952</v>
      </c>
      <c r="N25" s="1162">
        <f>+Ingresos!H50</f>
        <v>0</v>
      </c>
      <c r="O25" s="1168"/>
      <c r="P25" s="1162" t="e">
        <f t="shared" ref="P25:AC25" si="13">SUM(P26:P27)+P28+P56+P52</f>
        <v>#REF!</v>
      </c>
      <c r="Q25" s="1162" t="e">
        <f t="shared" si="13"/>
        <v>#REF!</v>
      </c>
      <c r="R25" s="1162" t="e">
        <f t="shared" si="13"/>
        <v>#REF!</v>
      </c>
      <c r="S25" s="1194" t="e">
        <f t="shared" si="13"/>
        <v>#REF!</v>
      </c>
      <c r="T25" s="1194" t="e">
        <f t="shared" si="13"/>
        <v>#REF!</v>
      </c>
      <c r="U25" s="1194" t="e">
        <f t="shared" si="13"/>
        <v>#REF!</v>
      </c>
      <c r="V25" s="1194">
        <f t="shared" si="13"/>
        <v>693323</v>
      </c>
      <c r="W25" s="1194">
        <f t="shared" si="13"/>
        <v>582616.12</v>
      </c>
      <c r="X25" s="1194">
        <f t="shared" si="13"/>
        <v>605920.76480000012</v>
      </c>
      <c r="Y25" s="1194">
        <f t="shared" si="13"/>
        <v>630157.59539200016</v>
      </c>
      <c r="Z25" s="1194">
        <f t="shared" si="13"/>
        <v>655363.89920768014</v>
      </c>
      <c r="AA25" s="1194">
        <f t="shared" si="13"/>
        <v>681578.45517598733</v>
      </c>
      <c r="AB25" s="1194">
        <f t="shared" si="13"/>
        <v>708841.59338302689</v>
      </c>
      <c r="AC25" s="1194">
        <f t="shared" si="13"/>
        <v>737195.25711834803</v>
      </c>
      <c r="AD25" s="1194">
        <f t="shared" ref="AD25:AI25" si="14">SUM(AD26:AD27)+AD28+AD56+AD52</f>
        <v>766683.06740308192</v>
      </c>
      <c r="AE25" s="1194">
        <f t="shared" si="14"/>
        <v>797350.39009920519</v>
      </c>
      <c r="AF25" s="1194">
        <f t="shared" si="14"/>
        <v>829244.40570317348</v>
      </c>
      <c r="AG25" s="1194">
        <f t="shared" si="14"/>
        <v>862414.18193130044</v>
      </c>
      <c r="AH25" s="1194">
        <f t="shared" si="14"/>
        <v>896910.74920855241</v>
      </c>
      <c r="AI25" s="1194">
        <f t="shared" si="14"/>
        <v>932787.1791768946</v>
      </c>
      <c r="AJ25" s="1194">
        <f>SUM(AJ26:AJ27)+AJ28+AJ56+AJ52</f>
        <v>970098.66634397034</v>
      </c>
    </row>
    <row r="26" spans="1:36">
      <c r="A26" s="776" t="str">
        <f>+Ingresos!A51</f>
        <v>11201</v>
      </c>
      <c r="B26" s="777"/>
      <c r="C26" s="1198" t="s">
        <v>853</v>
      </c>
      <c r="D26" s="1199">
        <f t="shared" ref="D26:F27" si="15">+L26-I26</f>
        <v>60700</v>
      </c>
      <c r="E26" s="1199">
        <f t="shared" si="15"/>
        <v>60700</v>
      </c>
      <c r="F26" s="1165">
        <f t="shared" si="15"/>
        <v>0</v>
      </c>
      <c r="G26" s="1200"/>
      <c r="H26" s="1200"/>
      <c r="I26" s="1165">
        <f t="shared" ref="I26:K27" si="16">+$G26*L26</f>
        <v>0</v>
      </c>
      <c r="J26" s="1165">
        <f t="shared" si="16"/>
        <v>0</v>
      </c>
      <c r="K26" s="1165">
        <f t="shared" si="16"/>
        <v>0</v>
      </c>
      <c r="L26" s="1165">
        <f>+Ingresos!C51</f>
        <v>60700</v>
      </c>
      <c r="M26" s="1165">
        <f>+Ingresos!E51</f>
        <v>60700</v>
      </c>
      <c r="N26" s="1165">
        <f>+Ingresos!H51</f>
        <v>0</v>
      </c>
      <c r="O26" s="1201"/>
      <c r="P26" s="1165" t="e">
        <f>+'Ingresos Proyecciones'!C36-('Ingresos Proyecciones'!C36*'Ley 617'!#REF!)</f>
        <v>#REF!</v>
      </c>
      <c r="Q26" s="1165" t="e">
        <f>+'Ingresos Proyecciones'!D36-('Ingresos Proyecciones'!D36*'Ley 617'!#REF!)</f>
        <v>#REF!</v>
      </c>
      <c r="R26" s="1165" t="e">
        <f>+'Ingresos Proyecciones'!E36-('Ingresos Proyecciones'!E36*'Ley 617'!#REF!)</f>
        <v>#REF!</v>
      </c>
      <c r="S26" s="1199" t="e">
        <f>+'Ingresos Proyecciones'!F36-('Ingresos Proyecciones'!F36*'Ley 617'!#REF!)</f>
        <v>#REF!</v>
      </c>
      <c r="T26" s="1199" t="e">
        <f>+'Ingresos Proyecciones'!G36-('Ingresos Proyecciones'!G36*'Ley 617'!#REF!)</f>
        <v>#REF!</v>
      </c>
      <c r="U26" s="1199" t="e">
        <f>+'Ingresos Proyecciones'!H36-('Ingresos Proyecciones'!H36*'Ley 617'!#REF!)</f>
        <v>#REF!</v>
      </c>
      <c r="V26" s="1199">
        <f>+'Ingresos Proyecciones'!I36</f>
        <v>68279</v>
      </c>
      <c r="W26" s="1199">
        <f>+'Ingresos Proyecciones'!J36</f>
        <v>24215.160000000003</v>
      </c>
      <c r="X26" s="1199">
        <f>+'Ingresos Proyecciones'!K36</f>
        <v>25183.766400000004</v>
      </c>
      <c r="Y26" s="1199">
        <f>+'Ingresos Proyecciones'!L36</f>
        <v>26191.117056000006</v>
      </c>
      <c r="Z26" s="1199">
        <f>+'Ingresos Proyecciones'!M36</f>
        <v>27238.761738240006</v>
      </c>
      <c r="AA26" s="1199">
        <f>+'Ingresos Proyecciones'!N36</f>
        <v>28328.312207769606</v>
      </c>
      <c r="AB26" s="1199">
        <f>+'Ingresos Proyecciones'!O36</f>
        <v>29461.444696080391</v>
      </c>
      <c r="AC26" s="1199">
        <f>+'Ingresos Proyecciones'!P36</f>
        <v>30639.902483923608</v>
      </c>
      <c r="AD26" s="1199">
        <f>+'Ingresos Proyecciones'!Q36</f>
        <v>31865.498583280554</v>
      </c>
      <c r="AE26" s="1199">
        <f>+'Ingresos Proyecciones'!R36</f>
        <v>33140.118526611775</v>
      </c>
      <c r="AF26" s="1199">
        <f>+'Ingresos Proyecciones'!S36</f>
        <v>34465.723267676251</v>
      </c>
      <c r="AG26" s="1199">
        <f>+'Ingresos Proyecciones'!T36</f>
        <v>35844.352198383305</v>
      </c>
      <c r="AH26" s="1199">
        <f>+'Ingresos Proyecciones'!U36</f>
        <v>37278.126286318642</v>
      </c>
      <c r="AI26" s="1199">
        <f>+'Ingresos Proyecciones'!V36</f>
        <v>38769.251337771391</v>
      </c>
      <c r="AJ26" s="1199">
        <f>+'Ingresos Proyecciones'!W36</f>
        <v>40320.021391282251</v>
      </c>
    </row>
    <row r="27" spans="1:36">
      <c r="A27" s="776" t="str">
        <f>+Ingresos!A52</f>
        <v>11202</v>
      </c>
      <c r="B27" s="777"/>
      <c r="C27" s="1198" t="s">
        <v>909</v>
      </c>
      <c r="D27" s="1199">
        <f t="shared" si="15"/>
        <v>5000</v>
      </c>
      <c r="E27" s="1199">
        <f t="shared" si="15"/>
        <v>5000</v>
      </c>
      <c r="F27" s="1165">
        <f t="shared" si="15"/>
        <v>0</v>
      </c>
      <c r="G27" s="1200"/>
      <c r="H27" s="1200"/>
      <c r="I27" s="1165">
        <f t="shared" si="16"/>
        <v>0</v>
      </c>
      <c r="J27" s="1165">
        <f t="shared" si="16"/>
        <v>0</v>
      </c>
      <c r="K27" s="1165">
        <f t="shared" si="16"/>
        <v>0</v>
      </c>
      <c r="L27" s="1165">
        <f>+Ingresos!C52</f>
        <v>5000</v>
      </c>
      <c r="M27" s="1165">
        <f>+Ingresos!E52</f>
        <v>5000</v>
      </c>
      <c r="N27" s="1165">
        <f>+Ingresos!H52</f>
        <v>0</v>
      </c>
      <c r="O27" s="1201"/>
      <c r="P27" s="1165" t="e">
        <f>+'Ingresos Proyecciones'!C37-('Ingresos Proyecciones'!C37*'Ley 617'!#REF!)</f>
        <v>#REF!</v>
      </c>
      <c r="Q27" s="1165" t="e">
        <f>+'Ingresos Proyecciones'!D37-('Ingresos Proyecciones'!D37*'Ley 617'!#REF!)</f>
        <v>#REF!</v>
      </c>
      <c r="R27" s="1165" t="e">
        <f>+'Ingresos Proyecciones'!E37-('Ingresos Proyecciones'!E37*'Ley 617'!#REF!)</f>
        <v>#REF!</v>
      </c>
      <c r="S27" s="1199" t="e">
        <f>+'Ingresos Proyecciones'!F37-('Ingresos Proyecciones'!F37*'Ley 617'!#REF!)</f>
        <v>#REF!</v>
      </c>
      <c r="T27" s="1199" t="e">
        <f>+'Ingresos Proyecciones'!G37-('Ingresos Proyecciones'!G37*'Ley 617'!#REF!)</f>
        <v>#REF!</v>
      </c>
      <c r="U27" s="1199" t="e">
        <f>+'Ingresos Proyecciones'!H37-('Ingresos Proyecciones'!H37*'Ley 617'!#REF!)</f>
        <v>#REF!</v>
      </c>
      <c r="V27" s="1199">
        <f>+'Ingresos Proyecciones'!I37</f>
        <v>5624</v>
      </c>
      <c r="W27" s="1199">
        <f>+'Ingresos Proyecciones'!J37</f>
        <v>5848.96</v>
      </c>
      <c r="X27" s="1199">
        <f>+'Ingresos Proyecciones'!K37</f>
        <v>6082.9184000000005</v>
      </c>
      <c r="Y27" s="1199">
        <f>+'Ingresos Proyecciones'!L37</f>
        <v>6326.2351360000011</v>
      </c>
      <c r="Z27" s="1199">
        <f>+'Ingresos Proyecciones'!M37</f>
        <v>6579.2845414400017</v>
      </c>
      <c r="AA27" s="1199">
        <f>+'Ingresos Proyecciones'!N37</f>
        <v>6842.455923097602</v>
      </c>
      <c r="AB27" s="1199">
        <f>+'Ingresos Proyecciones'!O37</f>
        <v>7116.154160021506</v>
      </c>
      <c r="AC27" s="1199">
        <f>+'Ingresos Proyecciones'!P37</f>
        <v>7400.8003264223662</v>
      </c>
      <c r="AD27" s="1199">
        <f>+'Ingresos Proyecciones'!Q37</f>
        <v>7696.8323394792615</v>
      </c>
      <c r="AE27" s="1199">
        <f>+'Ingresos Proyecciones'!R37</f>
        <v>8004.7056330584319</v>
      </c>
      <c r="AF27" s="1199">
        <f>+'Ingresos Proyecciones'!S37</f>
        <v>8324.8938583807703</v>
      </c>
      <c r="AG27" s="1199">
        <f>+'Ingresos Proyecciones'!T37</f>
        <v>8657.8896127160006</v>
      </c>
      <c r="AH27" s="1199">
        <f>+'Ingresos Proyecciones'!U37</f>
        <v>9004.2051972246409</v>
      </c>
      <c r="AI27" s="1199">
        <f>+'Ingresos Proyecciones'!V37</f>
        <v>9364.3734051136271</v>
      </c>
      <c r="AJ27" s="1199">
        <f>+'Ingresos Proyecciones'!W37</f>
        <v>9738.9483413181733</v>
      </c>
    </row>
    <row r="28" spans="1:36">
      <c r="A28" s="776" t="str">
        <f>+Ingresos!A57</f>
        <v>11205</v>
      </c>
      <c r="B28" s="777"/>
      <c r="C28" s="1198" t="s">
        <v>864</v>
      </c>
      <c r="D28" s="1208" t="e">
        <f>+D31+D29+D44+D48</f>
        <v>#REF!</v>
      </c>
      <c r="E28" s="1208" t="e">
        <f>+E31+E29+E44+E48</f>
        <v>#REF!</v>
      </c>
      <c r="F28" s="1209" t="e">
        <f>+F31+F29+F44+F48</f>
        <v>#REF!</v>
      </c>
      <c r="G28" s="1200"/>
      <c r="H28" s="1197"/>
      <c r="I28" s="1162" t="e">
        <f>+I31+I29+I44+I48</f>
        <v>#REF!</v>
      </c>
      <c r="J28" s="1162" t="e">
        <f>+J31+J29+J44+J48</f>
        <v>#REF!</v>
      </c>
      <c r="K28" s="1162" t="e">
        <f>+K31+K29+K44+K48</f>
        <v>#REF!</v>
      </c>
      <c r="L28" s="1162">
        <f>+Ingresos!C57</f>
        <v>5727609</v>
      </c>
      <c r="M28" s="1162">
        <f>+Ingresos!E57</f>
        <v>5727609</v>
      </c>
      <c r="N28" s="1162">
        <f>+Ingresos!H57</f>
        <v>0</v>
      </c>
      <c r="O28" s="1192"/>
      <c r="P28" s="1206" t="e">
        <f t="shared" ref="P28:AC28" si="17">+P31+P29+P44+P48</f>
        <v>#REF!</v>
      </c>
      <c r="Q28" s="1206" t="e">
        <f t="shared" si="17"/>
        <v>#REF!</v>
      </c>
      <c r="R28" s="1206" t="e">
        <f t="shared" si="17"/>
        <v>#REF!</v>
      </c>
      <c r="S28" s="1207" t="e">
        <f t="shared" si="17"/>
        <v>#REF!</v>
      </c>
      <c r="T28" s="1207" t="e">
        <f t="shared" si="17"/>
        <v>#REF!</v>
      </c>
      <c r="U28" s="1207" t="e">
        <f t="shared" si="17"/>
        <v>#REF!</v>
      </c>
      <c r="V28" s="1207">
        <f t="shared" si="17"/>
        <v>619420</v>
      </c>
      <c r="W28" s="1207">
        <f t="shared" si="17"/>
        <v>552552</v>
      </c>
      <c r="X28" s="1207">
        <f t="shared" si="17"/>
        <v>574654.08000000007</v>
      </c>
      <c r="Y28" s="1207">
        <f t="shared" si="17"/>
        <v>597640.24320000014</v>
      </c>
      <c r="Z28" s="1207">
        <f t="shared" si="17"/>
        <v>621545.85292800015</v>
      </c>
      <c r="AA28" s="1207">
        <f t="shared" si="17"/>
        <v>646407.68704512017</v>
      </c>
      <c r="AB28" s="1207">
        <f t="shared" si="17"/>
        <v>672263.99452692503</v>
      </c>
      <c r="AC28" s="1207">
        <f t="shared" si="17"/>
        <v>699154.554308002</v>
      </c>
      <c r="AD28" s="1207">
        <f t="shared" ref="AD28:AI28" si="18">+AD31+AD29+AD44+AD48</f>
        <v>727120.73648032208</v>
      </c>
      <c r="AE28" s="1207">
        <f t="shared" si="18"/>
        <v>756205.56593953504</v>
      </c>
      <c r="AF28" s="1207">
        <f t="shared" si="18"/>
        <v>786453.78857711644</v>
      </c>
      <c r="AG28" s="1207">
        <f t="shared" si="18"/>
        <v>817911.94012020109</v>
      </c>
      <c r="AH28" s="1207">
        <f t="shared" si="18"/>
        <v>850628.41772500915</v>
      </c>
      <c r="AI28" s="1207">
        <f t="shared" si="18"/>
        <v>884653.55443400959</v>
      </c>
      <c r="AJ28" s="1207">
        <f>+AJ31+AJ29+AJ44+AJ48</f>
        <v>920039.69661136996</v>
      </c>
    </row>
    <row r="29" spans="1:36" ht="22.5">
      <c r="A29" s="776" t="str">
        <f>+Ingresos!A58</f>
        <v>1120501</v>
      </c>
      <c r="B29" s="777"/>
      <c r="C29" s="1198" t="s">
        <v>866</v>
      </c>
      <c r="D29" s="1208" t="e">
        <f>+D30+#REF!</f>
        <v>#REF!</v>
      </c>
      <c r="E29" s="1208" t="e">
        <f>+E30+#REF!</f>
        <v>#REF!</v>
      </c>
      <c r="F29" s="1209" t="e">
        <f>+F30+#REF!</f>
        <v>#REF!</v>
      </c>
      <c r="G29" s="1200"/>
      <c r="H29" s="1204"/>
      <c r="I29" s="1162" t="e">
        <f>+I30+#REF!</f>
        <v>#REF!</v>
      </c>
      <c r="J29" s="1162" t="e">
        <f>+J30+#REF!</f>
        <v>#REF!</v>
      </c>
      <c r="K29" s="1162" t="e">
        <f>+K30+#REF!</f>
        <v>#REF!</v>
      </c>
      <c r="L29" s="1162">
        <f>+Ingresos!C58</f>
        <v>714656</v>
      </c>
      <c r="M29" s="1162">
        <f>+Ingresos!E58</f>
        <v>714656</v>
      </c>
      <c r="N29" s="1162">
        <f>+Ingresos!H58</f>
        <v>0</v>
      </c>
      <c r="O29" s="1192"/>
      <c r="P29" s="1206" t="e">
        <f>+P30+#REF!</f>
        <v>#REF!</v>
      </c>
      <c r="Q29" s="1206" t="e">
        <f>+Q30+#REF!</f>
        <v>#REF!</v>
      </c>
      <c r="R29" s="1206" t="e">
        <f>+R30+#REF!</f>
        <v>#REF!</v>
      </c>
      <c r="S29" s="1207" t="e">
        <f>+S30+#REF!</f>
        <v>#REF!</v>
      </c>
      <c r="T29" s="1207" t="e">
        <f>+T30+#REF!</f>
        <v>#REF!</v>
      </c>
      <c r="U29" s="1207" t="e">
        <f>+U30+#REF!</f>
        <v>#REF!</v>
      </c>
      <c r="V29" s="1207">
        <f>+V30</f>
        <v>619420</v>
      </c>
      <c r="W29" s="1207">
        <f t="shared" ref="W29:AJ29" si="19">+W30</f>
        <v>552552</v>
      </c>
      <c r="X29" s="1207">
        <f t="shared" si="19"/>
        <v>574654.08000000007</v>
      </c>
      <c r="Y29" s="1207">
        <f t="shared" si="19"/>
        <v>597640.24320000014</v>
      </c>
      <c r="Z29" s="1207">
        <f t="shared" si="19"/>
        <v>621545.85292800015</v>
      </c>
      <c r="AA29" s="1207">
        <f t="shared" si="19"/>
        <v>646407.68704512017</v>
      </c>
      <c r="AB29" s="1207">
        <f t="shared" si="19"/>
        <v>672263.99452692503</v>
      </c>
      <c r="AC29" s="1207">
        <f t="shared" si="19"/>
        <v>699154.554308002</v>
      </c>
      <c r="AD29" s="1207">
        <f t="shared" si="19"/>
        <v>727120.73648032208</v>
      </c>
      <c r="AE29" s="1207">
        <f t="shared" si="19"/>
        <v>756205.56593953504</v>
      </c>
      <c r="AF29" s="1207">
        <f t="shared" si="19"/>
        <v>786453.78857711644</v>
      </c>
      <c r="AG29" s="1207">
        <f t="shared" si="19"/>
        <v>817911.94012020109</v>
      </c>
      <c r="AH29" s="1207">
        <f t="shared" si="19"/>
        <v>850628.41772500915</v>
      </c>
      <c r="AI29" s="1207">
        <f t="shared" si="19"/>
        <v>884653.55443400959</v>
      </c>
      <c r="AJ29" s="1207">
        <f t="shared" si="19"/>
        <v>920039.69661136996</v>
      </c>
    </row>
    <row r="30" spans="1:36" ht="22.5">
      <c r="A30" s="776" t="str">
        <f>+Ingresos!A59</f>
        <v>1120501010101</v>
      </c>
      <c r="B30" s="777"/>
      <c r="C30" s="1198" t="s">
        <v>868</v>
      </c>
      <c r="D30" s="1199">
        <f>+L30-I30</f>
        <v>714656</v>
      </c>
      <c r="E30" s="1199">
        <f>+M30-J30</f>
        <v>714656</v>
      </c>
      <c r="F30" s="1165">
        <f>+N30-K30</f>
        <v>0</v>
      </c>
      <c r="G30" s="1200"/>
      <c r="H30" s="1200"/>
      <c r="I30" s="1165">
        <f>+$G30*L30</f>
        <v>0</v>
      </c>
      <c r="J30" s="1165">
        <f>+$G30*M30</f>
        <v>0</v>
      </c>
      <c r="K30" s="1165">
        <f>+$G30*N30</f>
        <v>0</v>
      </c>
      <c r="L30" s="1162">
        <f>+Ingresos!C59</f>
        <v>714656</v>
      </c>
      <c r="M30" s="1162">
        <f>+Ingresos!E59</f>
        <v>714656</v>
      </c>
      <c r="N30" s="1165">
        <f>+Ingresos!H59</f>
        <v>0</v>
      </c>
      <c r="O30" s="1192"/>
      <c r="P30" s="1165" t="e">
        <f>+'Ingresos Proyecciones'!C44-('Ingresos Proyecciones'!C44*'Ley 617'!#REF!)</f>
        <v>#REF!</v>
      </c>
      <c r="Q30" s="1165" t="e">
        <f>+'Ingresos Proyecciones'!D44-('Ingresos Proyecciones'!D44*'Ley 617'!#REF!)</f>
        <v>#REF!</v>
      </c>
      <c r="R30" s="1165" t="e">
        <f>+'Ingresos Proyecciones'!E44-('Ingresos Proyecciones'!E44*'Ley 617'!#REF!)</f>
        <v>#REF!</v>
      </c>
      <c r="S30" s="1199" t="e">
        <f>+'Ingresos Proyecciones'!F44-('Ingresos Proyecciones'!F44*'Ley 617'!#REF!)</f>
        <v>#REF!</v>
      </c>
      <c r="T30" s="1199" t="e">
        <f>+'Ingresos Proyecciones'!G44-('Ingresos Proyecciones'!G44*'Ley 617'!#REF!)</f>
        <v>#REF!</v>
      </c>
      <c r="U30" s="1199" t="e">
        <f>+'Ingresos Proyecciones'!H44-('Ingresos Proyecciones'!H44*'Ley 617'!#REF!)</f>
        <v>#REF!</v>
      </c>
      <c r="V30" s="1199">
        <f>+'Ingresos Proyecciones'!I44</f>
        <v>619420</v>
      </c>
      <c r="W30" s="1199">
        <f>+'Ingresos Proyecciones'!J44</f>
        <v>552552</v>
      </c>
      <c r="X30" s="1199">
        <f>+'Ingresos Proyecciones'!K44</f>
        <v>574654.08000000007</v>
      </c>
      <c r="Y30" s="1199">
        <f>+'Ingresos Proyecciones'!L44</f>
        <v>597640.24320000014</v>
      </c>
      <c r="Z30" s="1199">
        <f>+'Ingresos Proyecciones'!M44</f>
        <v>621545.85292800015</v>
      </c>
      <c r="AA30" s="1199">
        <f>+'Ingresos Proyecciones'!N44</f>
        <v>646407.68704512017</v>
      </c>
      <c r="AB30" s="1199">
        <f>+'Ingresos Proyecciones'!O44</f>
        <v>672263.99452692503</v>
      </c>
      <c r="AC30" s="1199">
        <f>+'Ingresos Proyecciones'!P44</f>
        <v>699154.554308002</v>
      </c>
      <c r="AD30" s="1199">
        <f>+'Ingresos Proyecciones'!Q44</f>
        <v>727120.73648032208</v>
      </c>
      <c r="AE30" s="1199">
        <f>+'Ingresos Proyecciones'!R44</f>
        <v>756205.56593953504</v>
      </c>
      <c r="AF30" s="1199">
        <f>+'Ingresos Proyecciones'!S44</f>
        <v>786453.78857711644</v>
      </c>
      <c r="AG30" s="1199">
        <f>+'Ingresos Proyecciones'!T44</f>
        <v>817911.94012020109</v>
      </c>
      <c r="AH30" s="1199">
        <f>+'Ingresos Proyecciones'!U44</f>
        <v>850628.41772500915</v>
      </c>
      <c r="AI30" s="1199">
        <f>+'Ingresos Proyecciones'!V44</f>
        <v>884653.55443400959</v>
      </c>
      <c r="AJ30" s="1199">
        <f>+'Ingresos Proyecciones'!W44</f>
        <v>920039.69661136996</v>
      </c>
    </row>
    <row r="31" spans="1:36" hidden="1">
      <c r="A31" s="776" t="str">
        <f>+Ingresos!A61</f>
        <v>1120502</v>
      </c>
      <c r="B31" s="777"/>
      <c r="C31" s="1198" t="s">
        <v>872</v>
      </c>
      <c r="D31" s="1205">
        <f>+D32+D35+D41+D42+D43</f>
        <v>0</v>
      </c>
      <c r="E31" s="1205">
        <f>+E32+E35+E41+E42+E43</f>
        <v>0</v>
      </c>
      <c r="F31" s="1206">
        <f>+F32+F35+F41+F42+F43</f>
        <v>0</v>
      </c>
      <c r="G31" s="1200"/>
      <c r="H31" s="1204"/>
      <c r="I31" s="1162">
        <f>+I32+I35+I41+I42+I43</f>
        <v>5005953</v>
      </c>
      <c r="J31" s="1162">
        <f>+J32+J35+J41+J42+J43</f>
        <v>5005953</v>
      </c>
      <c r="K31" s="1162">
        <f>+K32+K35+K41+K42+K43</f>
        <v>0</v>
      </c>
      <c r="L31" s="1162">
        <f>+Ingresos!C61</f>
        <v>5005953</v>
      </c>
      <c r="M31" s="1162">
        <f>+Ingresos!E61</f>
        <v>5005953</v>
      </c>
      <c r="N31" s="1162">
        <f>+Ingresos!H61</f>
        <v>0</v>
      </c>
      <c r="O31" s="1192"/>
      <c r="P31" s="1206" t="e">
        <f>+P32+P35+P41+P42+P43</f>
        <v>#REF!</v>
      </c>
      <c r="Q31" s="1206" t="e">
        <f t="shared" ref="Q31:AC31" si="20">+Q32+Q35+Q41+Q42+Q43</f>
        <v>#REF!</v>
      </c>
      <c r="R31" s="1206" t="e">
        <f t="shared" si="20"/>
        <v>#REF!</v>
      </c>
      <c r="S31" s="1207" t="e">
        <f t="shared" si="20"/>
        <v>#REF!</v>
      </c>
      <c r="T31" s="1207" t="e">
        <f t="shared" si="20"/>
        <v>#REF!</v>
      </c>
      <c r="U31" s="1207" t="e">
        <f t="shared" si="20"/>
        <v>#REF!</v>
      </c>
      <c r="V31" s="1207">
        <f t="shared" si="20"/>
        <v>0</v>
      </c>
      <c r="W31" s="1207">
        <f t="shared" si="20"/>
        <v>0</v>
      </c>
      <c r="X31" s="1207">
        <f t="shared" si="20"/>
        <v>0</v>
      </c>
      <c r="Y31" s="1207">
        <f t="shared" si="20"/>
        <v>0</v>
      </c>
      <c r="Z31" s="1207">
        <f t="shared" si="20"/>
        <v>0</v>
      </c>
      <c r="AA31" s="1207">
        <f t="shared" si="20"/>
        <v>0</v>
      </c>
      <c r="AB31" s="1207">
        <f t="shared" si="20"/>
        <v>0</v>
      </c>
      <c r="AC31" s="1207">
        <f t="shared" si="20"/>
        <v>0</v>
      </c>
      <c r="AD31" s="1207">
        <f t="shared" ref="AD31:AI31" si="21">+AD32+AD35+AD41+AD42+AD43</f>
        <v>0</v>
      </c>
      <c r="AE31" s="1207">
        <f t="shared" si="21"/>
        <v>0</v>
      </c>
      <c r="AF31" s="1207">
        <f t="shared" si="21"/>
        <v>0</v>
      </c>
      <c r="AG31" s="1207">
        <f t="shared" si="21"/>
        <v>0</v>
      </c>
      <c r="AH31" s="1207">
        <f t="shared" si="21"/>
        <v>0</v>
      </c>
      <c r="AI31" s="1207">
        <f t="shared" si="21"/>
        <v>0</v>
      </c>
      <c r="AJ31" s="1207">
        <f>+AJ32+AJ35+AJ41+AJ42+AJ43</f>
        <v>0</v>
      </c>
    </row>
    <row r="32" spans="1:36" ht="22.5" hidden="1">
      <c r="A32" s="776" t="str">
        <f>+Ingresos!A62</f>
        <v>1120502010101</v>
      </c>
      <c r="B32" s="777"/>
      <c r="C32" s="1198" t="s">
        <v>874</v>
      </c>
      <c r="D32" s="1194">
        <f>SUM(D33:D34)</f>
        <v>0</v>
      </c>
      <c r="E32" s="1194">
        <f>SUM(E33:E34)</f>
        <v>0</v>
      </c>
      <c r="F32" s="1162">
        <f>SUM(F33:F34)</f>
        <v>0</v>
      </c>
      <c r="G32" s="1200"/>
      <c r="H32" s="1204"/>
      <c r="I32" s="1162">
        <f>SUM(I33:I34)</f>
        <v>426911</v>
      </c>
      <c r="J32" s="1162">
        <f>SUM(J33:J34)</f>
        <v>426911</v>
      </c>
      <c r="K32" s="1162">
        <f>SUM(K33:K34)</f>
        <v>0</v>
      </c>
      <c r="L32" s="1162">
        <f>+Ingresos!C62</f>
        <v>426911</v>
      </c>
      <c r="M32" s="1162">
        <f>+Ingresos!E62</f>
        <v>426911</v>
      </c>
      <c r="N32" s="1162">
        <f>+Ingresos!H62</f>
        <v>0</v>
      </c>
      <c r="O32" s="1192"/>
      <c r="P32" s="1162" t="e">
        <f>SUM(P33:P34)</f>
        <v>#REF!</v>
      </c>
      <c r="Q32" s="1162" t="e">
        <f t="shared" ref="Q32:AC32" si="22">SUM(Q33:Q34)</f>
        <v>#REF!</v>
      </c>
      <c r="R32" s="1162" t="e">
        <f t="shared" si="22"/>
        <v>#REF!</v>
      </c>
      <c r="S32" s="1194" t="e">
        <f t="shared" si="22"/>
        <v>#REF!</v>
      </c>
      <c r="T32" s="1194" t="e">
        <f t="shared" si="22"/>
        <v>#REF!</v>
      </c>
      <c r="U32" s="1194" t="e">
        <f t="shared" si="22"/>
        <v>#REF!</v>
      </c>
      <c r="V32" s="1194">
        <f t="shared" si="22"/>
        <v>0</v>
      </c>
      <c r="W32" s="1194">
        <f t="shared" si="22"/>
        <v>0</v>
      </c>
      <c r="X32" s="1194">
        <f t="shared" si="22"/>
        <v>0</v>
      </c>
      <c r="Y32" s="1194">
        <f t="shared" si="22"/>
        <v>0</v>
      </c>
      <c r="Z32" s="1194">
        <f t="shared" si="22"/>
        <v>0</v>
      </c>
      <c r="AA32" s="1194">
        <f t="shared" si="22"/>
        <v>0</v>
      </c>
      <c r="AB32" s="1194">
        <f t="shared" si="22"/>
        <v>0</v>
      </c>
      <c r="AC32" s="1194">
        <f t="shared" si="22"/>
        <v>0</v>
      </c>
      <c r="AD32" s="1194">
        <f t="shared" ref="AD32:AI32" si="23">SUM(AD33:AD34)</f>
        <v>0</v>
      </c>
      <c r="AE32" s="1194">
        <f t="shared" si="23"/>
        <v>0</v>
      </c>
      <c r="AF32" s="1194">
        <f t="shared" si="23"/>
        <v>0</v>
      </c>
      <c r="AG32" s="1194">
        <f t="shared" si="23"/>
        <v>0</v>
      </c>
      <c r="AH32" s="1194">
        <f t="shared" si="23"/>
        <v>0</v>
      </c>
      <c r="AI32" s="1194">
        <f t="shared" si="23"/>
        <v>0</v>
      </c>
      <c r="AJ32" s="1194">
        <f>SUM(AJ33:AJ34)</f>
        <v>0</v>
      </c>
    </row>
    <row r="33" spans="1:36" hidden="1">
      <c r="A33" s="776" t="str">
        <f>+Ingresos!A63</f>
        <v>112050201010101</v>
      </c>
      <c r="B33" s="777"/>
      <c r="C33" s="1198" t="s">
        <v>876</v>
      </c>
      <c r="D33" s="1199">
        <f t="shared" ref="D33:F34" si="24">+L33-I33</f>
        <v>0</v>
      </c>
      <c r="E33" s="1199">
        <f t="shared" si="24"/>
        <v>0</v>
      </c>
      <c r="F33" s="1165">
        <f t="shared" si="24"/>
        <v>0</v>
      </c>
      <c r="G33" s="1200"/>
      <c r="H33" s="1204"/>
      <c r="I33" s="1165">
        <f t="shared" ref="I33:K34" si="25">+$G33*L33</f>
        <v>0</v>
      </c>
      <c r="J33" s="1165">
        <f t="shared" si="25"/>
        <v>0</v>
      </c>
      <c r="K33" s="1165">
        <f t="shared" si="25"/>
        <v>0</v>
      </c>
      <c r="L33" s="1162">
        <f>+Ingresos!C63</f>
        <v>0</v>
      </c>
      <c r="M33" s="1162">
        <f>+Ingresos!E63</f>
        <v>0</v>
      </c>
      <c r="N33" s="1165">
        <f>+Ingresos!H63</f>
        <v>0</v>
      </c>
      <c r="O33" s="1192"/>
      <c r="P33" s="1165" t="e">
        <f>+'Ingresos Proyecciones'!C48-('Ingresos Proyecciones'!C48*'Ley 617'!#REF!)</f>
        <v>#REF!</v>
      </c>
      <c r="Q33" s="1165" t="e">
        <f>+'Ingresos Proyecciones'!D48-('Ingresos Proyecciones'!D48*'Ley 617'!#REF!)</f>
        <v>#REF!</v>
      </c>
      <c r="R33" s="1165" t="e">
        <f>+'Ingresos Proyecciones'!E48-('Ingresos Proyecciones'!E48*'Ley 617'!#REF!)</f>
        <v>#REF!</v>
      </c>
      <c r="S33" s="1199" t="e">
        <f>+'Ingresos Proyecciones'!F48-('Ingresos Proyecciones'!F48*'Ley 617'!#REF!)</f>
        <v>#REF!</v>
      </c>
      <c r="T33" s="1199" t="e">
        <f>+'Ingresos Proyecciones'!G48-('Ingresos Proyecciones'!G48*'Ley 617'!#REF!)</f>
        <v>#REF!</v>
      </c>
      <c r="U33" s="1199" t="e">
        <f>+'Ingresos Proyecciones'!H48-('Ingresos Proyecciones'!H48*'Ley 617'!#REF!)</f>
        <v>#REF!</v>
      </c>
      <c r="V33" s="1199"/>
      <c r="W33" s="1199"/>
      <c r="X33" s="1199"/>
      <c r="Y33" s="1199"/>
      <c r="Z33" s="1199"/>
      <c r="AA33" s="1199"/>
      <c r="AB33" s="1199"/>
      <c r="AC33" s="1199"/>
      <c r="AD33" s="1199"/>
      <c r="AE33" s="1199"/>
      <c r="AF33" s="1199"/>
      <c r="AG33" s="1199"/>
      <c r="AH33" s="1199"/>
      <c r="AI33" s="1199"/>
      <c r="AJ33" s="1199"/>
    </row>
    <row r="34" spans="1:36" ht="22.5" hidden="1">
      <c r="A34" s="776" t="str">
        <f>+Ingresos!A64</f>
        <v>112050201010102</v>
      </c>
      <c r="B34" s="777"/>
      <c r="C34" s="1198" t="s">
        <v>878</v>
      </c>
      <c r="D34" s="1199">
        <f t="shared" si="24"/>
        <v>0</v>
      </c>
      <c r="E34" s="1199">
        <f t="shared" si="24"/>
        <v>0</v>
      </c>
      <c r="F34" s="1165">
        <f t="shared" si="24"/>
        <v>0</v>
      </c>
      <c r="G34" s="1200">
        <v>1</v>
      </c>
      <c r="H34" s="1204"/>
      <c r="I34" s="1165">
        <f t="shared" si="25"/>
        <v>426911</v>
      </c>
      <c r="J34" s="1165">
        <f t="shared" si="25"/>
        <v>426911</v>
      </c>
      <c r="K34" s="1165">
        <f t="shared" si="25"/>
        <v>0</v>
      </c>
      <c r="L34" s="1162">
        <f>+Ingresos!C64</f>
        <v>426911</v>
      </c>
      <c r="M34" s="1162">
        <f>+Ingresos!E64</f>
        <v>426911</v>
      </c>
      <c r="N34" s="1165">
        <f>+Ingresos!H64</f>
        <v>0</v>
      </c>
      <c r="O34" s="1192"/>
      <c r="P34" s="1165" t="e">
        <f>+'Ingresos Proyecciones'!C49-('Ingresos Proyecciones'!C49*'Ley 617'!#REF!)</f>
        <v>#REF!</v>
      </c>
      <c r="Q34" s="1165" t="e">
        <f>+'Ingresos Proyecciones'!D49-('Ingresos Proyecciones'!D49*'Ley 617'!#REF!)</f>
        <v>#REF!</v>
      </c>
      <c r="R34" s="1165" t="e">
        <f>+'Ingresos Proyecciones'!E49-('Ingresos Proyecciones'!E49*'Ley 617'!#REF!)</f>
        <v>#REF!</v>
      </c>
      <c r="S34" s="1199" t="e">
        <f>+'Ingresos Proyecciones'!F49-('Ingresos Proyecciones'!F49*'Ley 617'!#REF!)</f>
        <v>#REF!</v>
      </c>
      <c r="T34" s="1199" t="e">
        <f>+'Ingresos Proyecciones'!G49-('Ingresos Proyecciones'!G49*'Ley 617'!#REF!)</f>
        <v>#REF!</v>
      </c>
      <c r="U34" s="1199" t="e">
        <f>+'Ingresos Proyecciones'!H49-('Ingresos Proyecciones'!H49*'Ley 617'!#REF!)</f>
        <v>#REF!</v>
      </c>
      <c r="V34" s="1199"/>
      <c r="W34" s="1199"/>
      <c r="X34" s="1199"/>
      <c r="Y34" s="1199"/>
      <c r="Z34" s="1199"/>
      <c r="AA34" s="1199"/>
      <c r="AB34" s="1199"/>
      <c r="AC34" s="1199"/>
      <c r="AD34" s="1199"/>
      <c r="AE34" s="1199"/>
      <c r="AF34" s="1199"/>
      <c r="AG34" s="1199"/>
      <c r="AH34" s="1199"/>
      <c r="AI34" s="1199"/>
      <c r="AJ34" s="1199"/>
    </row>
    <row r="35" spans="1:36" hidden="1">
      <c r="A35" s="776" t="str">
        <f>+Ingresos!A65</f>
        <v>1120502010102</v>
      </c>
      <c r="B35" s="777"/>
      <c r="C35" s="1198" t="s">
        <v>880</v>
      </c>
      <c r="D35" s="1208">
        <f>SUM(D36:D40)</f>
        <v>0</v>
      </c>
      <c r="E35" s="1208">
        <f>SUM(E36:E40)</f>
        <v>0</v>
      </c>
      <c r="F35" s="1209">
        <f>SUM(F36:F40)</f>
        <v>0</v>
      </c>
      <c r="G35" s="1200">
        <v>1</v>
      </c>
      <c r="H35" s="1204"/>
      <c r="I35" s="1162">
        <f>SUM(I36:I40)</f>
        <v>2837410</v>
      </c>
      <c r="J35" s="1162">
        <f>SUM(J36:J40)</f>
        <v>2837410</v>
      </c>
      <c r="K35" s="1162">
        <f>SUM(K36:K40)</f>
        <v>0</v>
      </c>
      <c r="L35" s="1162">
        <f>+Ingresos!C65</f>
        <v>2837410</v>
      </c>
      <c r="M35" s="1162">
        <f>+Ingresos!E65</f>
        <v>2837410</v>
      </c>
      <c r="N35" s="1162">
        <f>+Ingresos!H65</f>
        <v>0</v>
      </c>
      <c r="O35" s="1192"/>
      <c r="P35" s="1206" t="e">
        <f>SUM(P36:P40)</f>
        <v>#REF!</v>
      </c>
      <c r="Q35" s="1206" t="e">
        <f t="shared" ref="Q35:AC35" si="26">SUM(Q36:Q40)</f>
        <v>#REF!</v>
      </c>
      <c r="R35" s="1206" t="e">
        <f t="shared" si="26"/>
        <v>#REF!</v>
      </c>
      <c r="S35" s="1207" t="e">
        <f t="shared" si="26"/>
        <v>#REF!</v>
      </c>
      <c r="T35" s="1207" t="e">
        <f t="shared" si="26"/>
        <v>#REF!</v>
      </c>
      <c r="U35" s="1207" t="e">
        <f t="shared" si="26"/>
        <v>#REF!</v>
      </c>
      <c r="V35" s="1207">
        <f t="shared" si="26"/>
        <v>0</v>
      </c>
      <c r="W35" s="1207">
        <f t="shared" si="26"/>
        <v>0</v>
      </c>
      <c r="X35" s="1207">
        <f t="shared" si="26"/>
        <v>0</v>
      </c>
      <c r="Y35" s="1207">
        <f t="shared" si="26"/>
        <v>0</v>
      </c>
      <c r="Z35" s="1207">
        <f t="shared" si="26"/>
        <v>0</v>
      </c>
      <c r="AA35" s="1207">
        <f t="shared" si="26"/>
        <v>0</v>
      </c>
      <c r="AB35" s="1207">
        <f t="shared" si="26"/>
        <v>0</v>
      </c>
      <c r="AC35" s="1207">
        <f t="shared" si="26"/>
        <v>0</v>
      </c>
      <c r="AD35" s="1207">
        <f t="shared" ref="AD35:AI35" si="27">SUM(AD36:AD40)</f>
        <v>0</v>
      </c>
      <c r="AE35" s="1207">
        <f t="shared" si="27"/>
        <v>0</v>
      </c>
      <c r="AF35" s="1207">
        <f t="shared" si="27"/>
        <v>0</v>
      </c>
      <c r="AG35" s="1207">
        <f t="shared" si="27"/>
        <v>0</v>
      </c>
      <c r="AH35" s="1207">
        <f t="shared" si="27"/>
        <v>0</v>
      </c>
      <c r="AI35" s="1207">
        <f t="shared" si="27"/>
        <v>0</v>
      </c>
      <c r="AJ35" s="1207">
        <f>SUM(AJ36:AJ40)</f>
        <v>0</v>
      </c>
    </row>
    <row r="36" spans="1:36" hidden="1">
      <c r="A36" s="776" t="str">
        <f>+Ingresos!A66</f>
        <v>112050201010201</v>
      </c>
      <c r="B36" s="777"/>
      <c r="C36" s="1198" t="s">
        <v>882</v>
      </c>
      <c r="D36" s="1199">
        <f t="shared" ref="D36:D43" si="28">+L36-I36</f>
        <v>0</v>
      </c>
      <c r="E36" s="1199">
        <f t="shared" ref="E36:E43" si="29">+M36-J36</f>
        <v>0</v>
      </c>
      <c r="F36" s="1165">
        <f t="shared" ref="F36:F43" si="30">+N36-K36</f>
        <v>0</v>
      </c>
      <c r="G36" s="1200">
        <v>1</v>
      </c>
      <c r="H36" s="1204"/>
      <c r="I36" s="1165">
        <f t="shared" ref="I36:I43" si="31">+$G36*L36</f>
        <v>1634306</v>
      </c>
      <c r="J36" s="1165">
        <f t="shared" ref="J36:J43" si="32">+$G36*M36</f>
        <v>1634306</v>
      </c>
      <c r="K36" s="1165">
        <f t="shared" ref="K36:K43" si="33">+$G36*N36</f>
        <v>0</v>
      </c>
      <c r="L36" s="1162">
        <f>+Ingresos!C66</f>
        <v>1634306</v>
      </c>
      <c r="M36" s="1162">
        <f>+Ingresos!E66</f>
        <v>1634306</v>
      </c>
      <c r="N36" s="1165">
        <f>+Ingresos!H66</f>
        <v>0</v>
      </c>
      <c r="O36" s="1192"/>
      <c r="P36" s="1165" t="e">
        <f>+'Ingresos Proyecciones'!C53-('Ingresos Proyecciones'!C53*'Ley 617'!#REF!)</f>
        <v>#REF!</v>
      </c>
      <c r="Q36" s="1165" t="e">
        <f>+'Ingresos Proyecciones'!D53-('Ingresos Proyecciones'!D53*'Ley 617'!#REF!)</f>
        <v>#REF!</v>
      </c>
      <c r="R36" s="1165" t="e">
        <f>+'Ingresos Proyecciones'!E53-('Ingresos Proyecciones'!E53*'Ley 617'!#REF!)</f>
        <v>#REF!</v>
      </c>
      <c r="S36" s="1199" t="e">
        <f>+'Ingresos Proyecciones'!F53-('Ingresos Proyecciones'!F53*'Ley 617'!#REF!)</f>
        <v>#REF!</v>
      </c>
      <c r="T36" s="1199" t="e">
        <f>+'Ingresos Proyecciones'!G53-('Ingresos Proyecciones'!G53*'Ley 617'!#REF!)</f>
        <v>#REF!</v>
      </c>
      <c r="U36" s="1199" t="e">
        <f>+'Ingresos Proyecciones'!H53-('Ingresos Proyecciones'!H53*'Ley 617'!#REF!)</f>
        <v>#REF!</v>
      </c>
      <c r="V36" s="1199"/>
      <c r="W36" s="1199"/>
      <c r="X36" s="1199"/>
      <c r="Y36" s="1199"/>
      <c r="Z36" s="1199"/>
      <c r="AA36" s="1199"/>
      <c r="AB36" s="1199"/>
      <c r="AC36" s="1199"/>
      <c r="AD36" s="1199"/>
      <c r="AE36" s="1199"/>
      <c r="AF36" s="1199"/>
      <c r="AG36" s="1199"/>
      <c r="AH36" s="1199"/>
      <c r="AI36" s="1199"/>
      <c r="AJ36" s="1199"/>
    </row>
    <row r="37" spans="1:36" hidden="1">
      <c r="A37" s="776" t="str">
        <f>+Ingresos!A67</f>
        <v>112050201010202</v>
      </c>
      <c r="B37" s="777"/>
      <c r="C37" s="1198" t="s">
        <v>884</v>
      </c>
      <c r="D37" s="1199">
        <f t="shared" si="28"/>
        <v>0</v>
      </c>
      <c r="E37" s="1199">
        <f t="shared" si="29"/>
        <v>0</v>
      </c>
      <c r="F37" s="1165">
        <f t="shared" si="30"/>
        <v>0</v>
      </c>
      <c r="G37" s="1200">
        <v>1</v>
      </c>
      <c r="H37" s="1204"/>
      <c r="I37" s="1165">
        <f t="shared" si="31"/>
        <v>1109589</v>
      </c>
      <c r="J37" s="1165">
        <f t="shared" si="32"/>
        <v>1109589</v>
      </c>
      <c r="K37" s="1165">
        <f t="shared" si="33"/>
        <v>0</v>
      </c>
      <c r="L37" s="1162">
        <f>+Ingresos!C67</f>
        <v>1109589</v>
      </c>
      <c r="M37" s="1162">
        <f>+Ingresos!E67</f>
        <v>1109589</v>
      </c>
      <c r="N37" s="1165">
        <f>+Ingresos!H67</f>
        <v>0</v>
      </c>
      <c r="O37" s="1192"/>
      <c r="P37" s="1165" t="e">
        <f>+'Ingresos Proyecciones'!C55-('Ingresos Proyecciones'!C55*'Ley 617'!#REF!)</f>
        <v>#REF!</v>
      </c>
      <c r="Q37" s="1165" t="e">
        <f>+'Ingresos Proyecciones'!D55-('Ingresos Proyecciones'!D55*'Ley 617'!#REF!)</f>
        <v>#REF!</v>
      </c>
      <c r="R37" s="1165" t="e">
        <f>+'Ingresos Proyecciones'!E55-('Ingresos Proyecciones'!E55*'Ley 617'!#REF!)</f>
        <v>#REF!</v>
      </c>
      <c r="S37" s="1199" t="e">
        <f>+'Ingresos Proyecciones'!F55-('Ingresos Proyecciones'!F55*'Ley 617'!#REF!)</f>
        <v>#REF!</v>
      </c>
      <c r="T37" s="1199" t="e">
        <f>+'Ingresos Proyecciones'!G55-('Ingresos Proyecciones'!G55*'Ley 617'!#REF!)</f>
        <v>#REF!</v>
      </c>
      <c r="U37" s="1199" t="e">
        <f>+'Ingresos Proyecciones'!H55-('Ingresos Proyecciones'!H55*'Ley 617'!#REF!)</f>
        <v>#REF!</v>
      </c>
      <c r="V37" s="1199"/>
      <c r="W37" s="1199"/>
      <c r="X37" s="1199"/>
      <c r="Y37" s="1199"/>
      <c r="Z37" s="1199"/>
      <c r="AA37" s="1199"/>
      <c r="AB37" s="1199"/>
      <c r="AC37" s="1199"/>
      <c r="AD37" s="1199"/>
      <c r="AE37" s="1199"/>
      <c r="AF37" s="1199"/>
      <c r="AG37" s="1199"/>
      <c r="AH37" s="1199"/>
      <c r="AI37" s="1199"/>
      <c r="AJ37" s="1199"/>
    </row>
    <row r="38" spans="1:36" ht="22.5" hidden="1">
      <c r="A38" s="776" t="str">
        <f>+Ingresos!A68</f>
        <v>112050201010203</v>
      </c>
      <c r="B38" s="777"/>
      <c r="C38" s="1198" t="s">
        <v>886</v>
      </c>
      <c r="D38" s="1199">
        <f t="shared" si="28"/>
        <v>0</v>
      </c>
      <c r="E38" s="1199">
        <f t="shared" si="29"/>
        <v>0</v>
      </c>
      <c r="F38" s="1165">
        <f t="shared" si="30"/>
        <v>0</v>
      </c>
      <c r="G38" s="1200">
        <v>1</v>
      </c>
      <c r="H38" s="1204"/>
      <c r="I38" s="1165">
        <f t="shared" si="31"/>
        <v>93515</v>
      </c>
      <c r="J38" s="1165">
        <f t="shared" si="32"/>
        <v>93515</v>
      </c>
      <c r="K38" s="1165">
        <f t="shared" si="33"/>
        <v>0</v>
      </c>
      <c r="L38" s="1162">
        <f>+Ingresos!C68</f>
        <v>93515</v>
      </c>
      <c r="M38" s="1162">
        <f>+Ingresos!E68</f>
        <v>93515</v>
      </c>
      <c r="N38" s="1165">
        <f>+Ingresos!H68</f>
        <v>0</v>
      </c>
      <c r="O38" s="1192"/>
      <c r="P38" s="1165" t="e">
        <f>+'Ingresos Proyecciones'!C56-('Ingresos Proyecciones'!C56*'Ley 617'!#REF!)</f>
        <v>#REF!</v>
      </c>
      <c r="Q38" s="1165" t="e">
        <f>+'Ingresos Proyecciones'!D56-('Ingresos Proyecciones'!D56*'Ley 617'!#REF!)</f>
        <v>#REF!</v>
      </c>
      <c r="R38" s="1165" t="e">
        <f>+'Ingresos Proyecciones'!E56-('Ingresos Proyecciones'!E56*'Ley 617'!#REF!)</f>
        <v>#REF!</v>
      </c>
      <c r="S38" s="1199" t="e">
        <f>+'Ingresos Proyecciones'!F56-('Ingresos Proyecciones'!F56*'Ley 617'!#REF!)</f>
        <v>#REF!</v>
      </c>
      <c r="T38" s="1199" t="e">
        <f>+'Ingresos Proyecciones'!G56-('Ingresos Proyecciones'!G56*'Ley 617'!#REF!)</f>
        <v>#REF!</v>
      </c>
      <c r="U38" s="1199" t="e">
        <f>+'Ingresos Proyecciones'!H56-('Ingresos Proyecciones'!H56*'Ley 617'!#REF!)</f>
        <v>#REF!</v>
      </c>
      <c r="V38" s="1199"/>
      <c r="W38" s="1199"/>
      <c r="X38" s="1199"/>
      <c r="Y38" s="1199"/>
      <c r="Z38" s="1199"/>
      <c r="AA38" s="1199"/>
      <c r="AB38" s="1199"/>
      <c r="AC38" s="1199"/>
      <c r="AD38" s="1199"/>
      <c r="AE38" s="1199"/>
      <c r="AF38" s="1199"/>
      <c r="AG38" s="1199"/>
      <c r="AH38" s="1199"/>
      <c r="AI38" s="1199"/>
      <c r="AJ38" s="1199"/>
    </row>
    <row r="39" spans="1:36" hidden="1">
      <c r="A39" s="776" t="str">
        <f>+Ingresos!A69</f>
        <v>112050201010204</v>
      </c>
      <c r="B39" s="777"/>
      <c r="C39" s="1198" t="s">
        <v>888</v>
      </c>
      <c r="D39" s="1199">
        <f t="shared" si="28"/>
        <v>0</v>
      </c>
      <c r="E39" s="1199">
        <f t="shared" si="29"/>
        <v>0</v>
      </c>
      <c r="F39" s="1165">
        <f t="shared" si="30"/>
        <v>0</v>
      </c>
      <c r="G39" s="1200"/>
      <c r="H39" s="1200"/>
      <c r="I39" s="1165">
        <f t="shared" si="31"/>
        <v>0</v>
      </c>
      <c r="J39" s="1165">
        <f t="shared" si="32"/>
        <v>0</v>
      </c>
      <c r="K39" s="1165">
        <f t="shared" si="33"/>
        <v>0</v>
      </c>
      <c r="L39" s="1162">
        <f>+Ingresos!C69</f>
        <v>0</v>
      </c>
      <c r="M39" s="1162">
        <f>+Ingresos!E69</f>
        <v>0</v>
      </c>
      <c r="N39" s="1165">
        <f>+Ingresos!H69</f>
        <v>0</v>
      </c>
      <c r="O39" s="1192"/>
      <c r="P39" s="1165" t="e">
        <f>+'Ingresos Proyecciones'!C57-('Ingresos Proyecciones'!C57*'Ley 617'!#REF!)</f>
        <v>#REF!</v>
      </c>
      <c r="Q39" s="1165" t="e">
        <f>+'Ingresos Proyecciones'!D57-('Ingresos Proyecciones'!D57*'Ley 617'!#REF!)</f>
        <v>#REF!</v>
      </c>
      <c r="R39" s="1165" t="e">
        <f>+'Ingresos Proyecciones'!E57-('Ingresos Proyecciones'!E57*'Ley 617'!#REF!)</f>
        <v>#REF!</v>
      </c>
      <c r="S39" s="1199" t="e">
        <f>+'Ingresos Proyecciones'!F57-('Ingresos Proyecciones'!F57*'Ley 617'!#REF!)</f>
        <v>#REF!</v>
      </c>
      <c r="T39" s="1199" t="e">
        <f>+'Ingresos Proyecciones'!G57-('Ingresos Proyecciones'!G57*'Ley 617'!#REF!)</f>
        <v>#REF!</v>
      </c>
      <c r="U39" s="1199" t="e">
        <f>+'Ingresos Proyecciones'!H57-('Ingresos Proyecciones'!H57*'Ley 617'!#REF!)</f>
        <v>#REF!</v>
      </c>
      <c r="V39" s="1199"/>
      <c r="W39" s="1199"/>
      <c r="X39" s="1199"/>
      <c r="Y39" s="1199"/>
      <c r="Z39" s="1199"/>
      <c r="AA39" s="1199"/>
      <c r="AB39" s="1199"/>
      <c r="AC39" s="1199"/>
      <c r="AD39" s="1199"/>
      <c r="AE39" s="1199"/>
      <c r="AF39" s="1199"/>
      <c r="AG39" s="1199"/>
      <c r="AH39" s="1199"/>
      <c r="AI39" s="1199"/>
      <c r="AJ39" s="1199"/>
    </row>
    <row r="40" spans="1:36" hidden="1">
      <c r="A40" s="776" t="str">
        <f>+Ingresos!A70</f>
        <v>112050201010205</v>
      </c>
      <c r="B40" s="777"/>
      <c r="C40" s="1198" t="s">
        <v>890</v>
      </c>
      <c r="D40" s="1199">
        <f t="shared" si="28"/>
        <v>0</v>
      </c>
      <c r="E40" s="1199">
        <f t="shared" si="29"/>
        <v>0</v>
      </c>
      <c r="F40" s="1165">
        <f t="shared" si="30"/>
        <v>0</v>
      </c>
      <c r="G40" s="1200"/>
      <c r="H40" s="1204"/>
      <c r="I40" s="1165">
        <f t="shared" si="31"/>
        <v>0</v>
      </c>
      <c r="J40" s="1165">
        <f t="shared" si="32"/>
        <v>0</v>
      </c>
      <c r="K40" s="1165">
        <f t="shared" si="33"/>
        <v>0</v>
      </c>
      <c r="L40" s="1162">
        <f>+Ingresos!C70</f>
        <v>0</v>
      </c>
      <c r="M40" s="1162">
        <f>+Ingresos!E70</f>
        <v>0</v>
      </c>
      <c r="N40" s="1165">
        <f>+Ingresos!H70</f>
        <v>0</v>
      </c>
      <c r="O40" s="1192"/>
      <c r="P40" s="1165" t="e">
        <f>+'Ingresos Proyecciones'!C58-('Ingresos Proyecciones'!C58*'Ley 617'!#REF!)</f>
        <v>#REF!</v>
      </c>
      <c r="Q40" s="1165" t="e">
        <f>+'Ingresos Proyecciones'!D58-('Ingresos Proyecciones'!D58*'Ley 617'!#REF!)</f>
        <v>#REF!</v>
      </c>
      <c r="R40" s="1165" t="e">
        <f>+'Ingresos Proyecciones'!E58-('Ingresos Proyecciones'!E58*'Ley 617'!#REF!)</f>
        <v>#REF!</v>
      </c>
      <c r="S40" s="1199" t="e">
        <f>+'Ingresos Proyecciones'!F58-('Ingresos Proyecciones'!F58*'Ley 617'!#REF!)</f>
        <v>#REF!</v>
      </c>
      <c r="T40" s="1199" t="e">
        <f>+'Ingresos Proyecciones'!G58-('Ingresos Proyecciones'!G58*'Ley 617'!#REF!)</f>
        <v>#REF!</v>
      </c>
      <c r="U40" s="1199" t="e">
        <f>+'Ingresos Proyecciones'!H58-('Ingresos Proyecciones'!H58*'Ley 617'!#REF!)</f>
        <v>#REF!</v>
      </c>
      <c r="V40" s="1199"/>
      <c r="W40" s="1199"/>
      <c r="X40" s="1199"/>
      <c r="Y40" s="1199"/>
      <c r="Z40" s="1199"/>
      <c r="AA40" s="1199"/>
      <c r="AB40" s="1199"/>
      <c r="AC40" s="1199"/>
      <c r="AD40" s="1199"/>
      <c r="AE40" s="1199"/>
      <c r="AF40" s="1199"/>
      <c r="AG40" s="1199"/>
      <c r="AH40" s="1199"/>
      <c r="AI40" s="1199"/>
      <c r="AJ40" s="1199"/>
    </row>
    <row r="41" spans="1:36" ht="22.5" hidden="1">
      <c r="A41" s="776" t="str">
        <f>+Ingresos!A71</f>
        <v>1120502010103</v>
      </c>
      <c r="B41" s="777"/>
      <c r="C41" s="1198" t="s">
        <v>892</v>
      </c>
      <c r="D41" s="1199">
        <f t="shared" si="28"/>
        <v>0</v>
      </c>
      <c r="E41" s="1199">
        <f t="shared" si="29"/>
        <v>0</v>
      </c>
      <c r="F41" s="1165">
        <f t="shared" si="30"/>
        <v>0</v>
      </c>
      <c r="G41" s="1200">
        <v>1</v>
      </c>
      <c r="H41" s="1204"/>
      <c r="I41" s="1165">
        <f t="shared" si="31"/>
        <v>1663434</v>
      </c>
      <c r="J41" s="1165">
        <f t="shared" si="32"/>
        <v>1663434</v>
      </c>
      <c r="K41" s="1165">
        <f t="shared" si="33"/>
        <v>0</v>
      </c>
      <c r="L41" s="1162">
        <f>+Ingresos!C71</f>
        <v>1663434</v>
      </c>
      <c r="M41" s="1162">
        <f>+Ingresos!E71</f>
        <v>1663434</v>
      </c>
      <c r="N41" s="1165">
        <f>+Ingresos!H71</f>
        <v>0</v>
      </c>
      <c r="O41" s="1192"/>
      <c r="P41" s="1165" t="e">
        <f>+'Ingresos Proyecciones'!C59-('Ingresos Proyecciones'!C59*'Ley 617'!#REF!)</f>
        <v>#REF!</v>
      </c>
      <c r="Q41" s="1165" t="e">
        <f>+'Ingresos Proyecciones'!D59-('Ingresos Proyecciones'!D59*'Ley 617'!#REF!)</f>
        <v>#REF!</v>
      </c>
      <c r="R41" s="1165" t="e">
        <f>+'Ingresos Proyecciones'!E59-('Ingresos Proyecciones'!E59*'Ley 617'!#REF!)</f>
        <v>#REF!</v>
      </c>
      <c r="S41" s="1199" t="e">
        <f>+'Ingresos Proyecciones'!F59-('Ingresos Proyecciones'!F59*'Ley 617'!#REF!)</f>
        <v>#REF!</v>
      </c>
      <c r="T41" s="1199" t="e">
        <f>+'Ingresos Proyecciones'!G59-('Ingresos Proyecciones'!G59*'Ley 617'!#REF!)</f>
        <v>#REF!</v>
      </c>
      <c r="U41" s="1199" t="e">
        <f>+'Ingresos Proyecciones'!H59-('Ingresos Proyecciones'!H59*'Ley 617'!#REF!)</f>
        <v>#REF!</v>
      </c>
      <c r="V41" s="1199"/>
      <c r="W41" s="1199"/>
      <c r="X41" s="1199"/>
      <c r="Y41" s="1199"/>
      <c r="Z41" s="1199"/>
      <c r="AA41" s="1199"/>
      <c r="AB41" s="1199"/>
      <c r="AC41" s="1199"/>
      <c r="AD41" s="1199"/>
      <c r="AE41" s="1199"/>
      <c r="AF41" s="1199"/>
      <c r="AG41" s="1199"/>
      <c r="AH41" s="1199"/>
      <c r="AI41" s="1199"/>
      <c r="AJ41" s="1199"/>
    </row>
    <row r="42" spans="1:36" ht="22.5" hidden="1">
      <c r="A42" s="776" t="str">
        <f>+Ingresos!A72</f>
        <v>6A</v>
      </c>
      <c r="B42" s="777"/>
      <c r="C42" s="1198" t="s">
        <v>894</v>
      </c>
      <c r="D42" s="1199">
        <f t="shared" si="28"/>
        <v>0</v>
      </c>
      <c r="E42" s="1199">
        <f t="shared" si="29"/>
        <v>0</v>
      </c>
      <c r="F42" s="1165">
        <f t="shared" si="30"/>
        <v>0</v>
      </c>
      <c r="G42" s="1200">
        <v>1</v>
      </c>
      <c r="H42" s="1200"/>
      <c r="I42" s="1165">
        <f t="shared" si="31"/>
        <v>78198</v>
      </c>
      <c r="J42" s="1165">
        <f t="shared" si="32"/>
        <v>78198</v>
      </c>
      <c r="K42" s="1165">
        <f t="shared" si="33"/>
        <v>0</v>
      </c>
      <c r="L42" s="1162">
        <f>+Ingresos!C72</f>
        <v>78198</v>
      </c>
      <c r="M42" s="1162">
        <f>+Ingresos!E72</f>
        <v>78198</v>
      </c>
      <c r="N42" s="1165">
        <f>+Ingresos!H72</f>
        <v>0</v>
      </c>
      <c r="O42" s="1192"/>
      <c r="P42" s="1165" t="e">
        <f>+'Ingresos Proyecciones'!C64-('Ingresos Proyecciones'!C64*'Ley 617'!#REF!)</f>
        <v>#REF!</v>
      </c>
      <c r="Q42" s="1165" t="e">
        <f>+'Ingresos Proyecciones'!D64-('Ingresos Proyecciones'!D64*'Ley 617'!#REF!)</f>
        <v>#REF!</v>
      </c>
      <c r="R42" s="1165" t="e">
        <f>+'Ingresos Proyecciones'!E64-('Ingresos Proyecciones'!E64*'Ley 617'!#REF!)</f>
        <v>#REF!</v>
      </c>
      <c r="S42" s="1199" t="e">
        <f>+'Ingresos Proyecciones'!F64-('Ingresos Proyecciones'!F64*'Ley 617'!#REF!)</f>
        <v>#REF!</v>
      </c>
      <c r="T42" s="1199" t="e">
        <f>+'Ingresos Proyecciones'!G64-('Ingresos Proyecciones'!G64*'Ley 617'!#REF!)</f>
        <v>#REF!</v>
      </c>
      <c r="U42" s="1199" t="e">
        <f>+'Ingresos Proyecciones'!H64-('Ingresos Proyecciones'!H64*'Ley 617'!#REF!)</f>
        <v>#REF!</v>
      </c>
      <c r="V42" s="1199"/>
      <c r="W42" s="1199"/>
      <c r="X42" s="1199"/>
      <c r="Y42" s="1199"/>
      <c r="Z42" s="1199"/>
      <c r="AA42" s="1199"/>
      <c r="AB42" s="1199"/>
      <c r="AC42" s="1199"/>
      <c r="AD42" s="1199"/>
      <c r="AE42" s="1199"/>
      <c r="AF42" s="1199"/>
      <c r="AG42" s="1199"/>
      <c r="AH42" s="1199"/>
      <c r="AI42" s="1199"/>
      <c r="AJ42" s="1199"/>
    </row>
    <row r="43" spans="1:36" ht="22.5" hidden="1">
      <c r="A43" s="776" t="str">
        <f>+Ingresos!A73</f>
        <v>7A</v>
      </c>
      <c r="B43" s="777"/>
      <c r="C43" s="1198" t="s">
        <v>927</v>
      </c>
      <c r="D43" s="1199">
        <f t="shared" si="28"/>
        <v>0</v>
      </c>
      <c r="E43" s="1199">
        <f t="shared" si="29"/>
        <v>0</v>
      </c>
      <c r="F43" s="1165">
        <f t="shared" si="30"/>
        <v>0</v>
      </c>
      <c r="G43" s="1200"/>
      <c r="H43" s="1200"/>
      <c r="I43" s="1165">
        <f t="shared" si="31"/>
        <v>0</v>
      </c>
      <c r="J43" s="1165">
        <f t="shared" si="32"/>
        <v>0</v>
      </c>
      <c r="K43" s="1165">
        <f t="shared" si="33"/>
        <v>0</v>
      </c>
      <c r="L43" s="1162">
        <f>+Ingresos!C73</f>
        <v>0</v>
      </c>
      <c r="M43" s="1162">
        <f>+Ingresos!E73</f>
        <v>0</v>
      </c>
      <c r="N43" s="1165">
        <f>+Ingresos!H73</f>
        <v>0</v>
      </c>
      <c r="O43" s="1192"/>
      <c r="P43" s="1165" t="e">
        <f>+'Ingresos Proyecciones'!C65-('Ingresos Proyecciones'!C65*'Ley 617'!#REF!)</f>
        <v>#REF!</v>
      </c>
      <c r="Q43" s="1165" t="e">
        <f>+'Ingresos Proyecciones'!D65-('Ingresos Proyecciones'!D65*'Ley 617'!#REF!)</f>
        <v>#REF!</v>
      </c>
      <c r="R43" s="1165" t="e">
        <f>+'Ingresos Proyecciones'!E65-('Ingresos Proyecciones'!E65*'Ley 617'!#REF!)</f>
        <v>#REF!</v>
      </c>
      <c r="S43" s="1199" t="e">
        <f>+'Ingresos Proyecciones'!F65-('Ingresos Proyecciones'!F65*'Ley 617'!#REF!)</f>
        <v>#REF!</v>
      </c>
      <c r="T43" s="1199" t="e">
        <f>+'Ingresos Proyecciones'!G65-('Ingresos Proyecciones'!G65*'Ley 617'!#REF!)</f>
        <v>#REF!</v>
      </c>
      <c r="U43" s="1199" t="e">
        <f>+'Ingresos Proyecciones'!H65-('Ingresos Proyecciones'!H65*'Ley 617'!#REF!)</f>
        <v>#REF!</v>
      </c>
      <c r="V43" s="1199"/>
      <c r="W43" s="1199"/>
      <c r="X43" s="1199"/>
      <c r="Y43" s="1199"/>
      <c r="Z43" s="1199"/>
      <c r="AA43" s="1199"/>
      <c r="AB43" s="1199"/>
      <c r="AC43" s="1199"/>
      <c r="AD43" s="1199"/>
      <c r="AE43" s="1199"/>
      <c r="AF43" s="1199"/>
      <c r="AG43" s="1199"/>
      <c r="AH43" s="1199"/>
      <c r="AI43" s="1199"/>
      <c r="AJ43" s="1199"/>
    </row>
    <row r="44" spans="1:36" ht="22.5" hidden="1">
      <c r="A44" s="776" t="str">
        <f>+Ingresos!A74</f>
        <v>1120502010198</v>
      </c>
      <c r="B44" s="777"/>
      <c r="C44" s="1198" t="s">
        <v>929</v>
      </c>
      <c r="D44" s="1199">
        <f>SUM(D45:D47)</f>
        <v>0</v>
      </c>
      <c r="E44" s="1199">
        <f>SUM(E45:E47)</f>
        <v>0</v>
      </c>
      <c r="F44" s="1165">
        <f>SUM(F45:F47)</f>
        <v>0</v>
      </c>
      <c r="G44" s="1200"/>
      <c r="H44" s="1204"/>
      <c r="I44" s="1162">
        <f>SUM(I45:I47)</f>
        <v>0</v>
      </c>
      <c r="J44" s="1162">
        <f>SUM(J45:J47)</f>
        <v>0</v>
      </c>
      <c r="K44" s="1162">
        <f>SUM(K45:K47)</f>
        <v>0</v>
      </c>
      <c r="L44" s="1162">
        <f>+Ingresos!C74</f>
        <v>0</v>
      </c>
      <c r="M44" s="1162">
        <f>+Ingresos!E74</f>
        <v>0</v>
      </c>
      <c r="N44" s="1162">
        <f>+Ingresos!H74</f>
        <v>0</v>
      </c>
      <c r="O44" s="1192"/>
      <c r="P44" s="1162" t="e">
        <f>SUM(P45:P47)</f>
        <v>#REF!</v>
      </c>
      <c r="Q44" s="1162" t="e">
        <f t="shared" ref="Q44:AC44" si="34">SUM(Q45:Q47)</f>
        <v>#REF!</v>
      </c>
      <c r="R44" s="1162" t="e">
        <f t="shared" si="34"/>
        <v>#REF!</v>
      </c>
      <c r="S44" s="1194" t="e">
        <f t="shared" si="34"/>
        <v>#REF!</v>
      </c>
      <c r="T44" s="1194" t="e">
        <f t="shared" si="34"/>
        <v>#REF!</v>
      </c>
      <c r="U44" s="1194" t="e">
        <f t="shared" si="34"/>
        <v>#REF!</v>
      </c>
      <c r="V44" s="1194">
        <f t="shared" si="34"/>
        <v>0</v>
      </c>
      <c r="W44" s="1194">
        <f t="shared" si="34"/>
        <v>0</v>
      </c>
      <c r="X44" s="1194">
        <f t="shared" si="34"/>
        <v>0</v>
      </c>
      <c r="Y44" s="1194">
        <f t="shared" si="34"/>
        <v>0</v>
      </c>
      <c r="Z44" s="1194">
        <f t="shared" si="34"/>
        <v>0</v>
      </c>
      <c r="AA44" s="1194">
        <f t="shared" si="34"/>
        <v>0</v>
      </c>
      <c r="AB44" s="1194">
        <f t="shared" si="34"/>
        <v>0</v>
      </c>
      <c r="AC44" s="1194">
        <f t="shared" si="34"/>
        <v>0</v>
      </c>
      <c r="AD44" s="1194">
        <f t="shared" ref="AD44:AI44" si="35">SUM(AD45:AD47)</f>
        <v>0</v>
      </c>
      <c r="AE44" s="1194">
        <f t="shared" si="35"/>
        <v>0</v>
      </c>
      <c r="AF44" s="1194">
        <f t="shared" si="35"/>
        <v>0</v>
      </c>
      <c r="AG44" s="1194">
        <f t="shared" si="35"/>
        <v>0</v>
      </c>
      <c r="AH44" s="1194">
        <f t="shared" si="35"/>
        <v>0</v>
      </c>
      <c r="AI44" s="1194">
        <f t="shared" si="35"/>
        <v>0</v>
      </c>
      <c r="AJ44" s="1194">
        <f>SUM(AJ45:AJ47)</f>
        <v>0</v>
      </c>
    </row>
    <row r="45" spans="1:36" hidden="1">
      <c r="A45" s="776" t="str">
        <f>+Ingresos!A75</f>
        <v>11205020102</v>
      </c>
      <c r="B45" s="777"/>
      <c r="C45" s="1198" t="s">
        <v>931</v>
      </c>
      <c r="D45" s="1199">
        <f t="shared" ref="D45:F47" si="36">+L45-I45</f>
        <v>0</v>
      </c>
      <c r="E45" s="1199">
        <f t="shared" si="36"/>
        <v>0</v>
      </c>
      <c r="F45" s="1165">
        <f t="shared" si="36"/>
        <v>0</v>
      </c>
      <c r="G45" s="1200"/>
      <c r="H45" s="1200"/>
      <c r="I45" s="1165">
        <f t="shared" ref="I45:K47" si="37">+$G45*L45</f>
        <v>0</v>
      </c>
      <c r="J45" s="1165">
        <f t="shared" si="37"/>
        <v>0</v>
      </c>
      <c r="K45" s="1165">
        <f t="shared" si="37"/>
        <v>0</v>
      </c>
      <c r="L45" s="1165">
        <f>+Ingresos!C75</f>
        <v>0</v>
      </c>
      <c r="M45" s="1165">
        <f>+Ingresos!E75</f>
        <v>0</v>
      </c>
      <c r="N45" s="1165">
        <f>+Ingresos!H75</f>
        <v>0</v>
      </c>
      <c r="O45" s="1192"/>
      <c r="P45" s="1165" t="e">
        <f>+'Ingresos Proyecciones'!C67-('Ingresos Proyecciones'!C67*'Ley 617'!#REF!)</f>
        <v>#REF!</v>
      </c>
      <c r="Q45" s="1165" t="e">
        <f>+'Ingresos Proyecciones'!D67-('Ingresos Proyecciones'!D67*'Ley 617'!#REF!)</f>
        <v>#REF!</v>
      </c>
      <c r="R45" s="1165" t="e">
        <f>+'Ingresos Proyecciones'!E67-('Ingresos Proyecciones'!E67*'Ley 617'!#REF!)</f>
        <v>#REF!</v>
      </c>
      <c r="S45" s="1199" t="e">
        <f>+'Ingresos Proyecciones'!F67-('Ingresos Proyecciones'!F67*'Ley 617'!#REF!)</f>
        <v>#REF!</v>
      </c>
      <c r="T45" s="1199" t="e">
        <f>+'Ingresos Proyecciones'!G67-('Ingresos Proyecciones'!G67*'Ley 617'!#REF!)</f>
        <v>#REF!</v>
      </c>
      <c r="U45" s="1199" t="e">
        <f>+'Ingresos Proyecciones'!H67-('Ingresos Proyecciones'!H67*'Ley 617'!#REF!)</f>
        <v>#REF!</v>
      </c>
      <c r="V45" s="1199"/>
      <c r="W45" s="1199"/>
      <c r="X45" s="1199"/>
      <c r="Y45" s="1199"/>
      <c r="Z45" s="1199"/>
      <c r="AA45" s="1199"/>
      <c r="AB45" s="1199"/>
      <c r="AC45" s="1199"/>
      <c r="AD45" s="1199"/>
      <c r="AE45" s="1199"/>
      <c r="AF45" s="1199"/>
      <c r="AG45" s="1199"/>
      <c r="AH45" s="1199"/>
      <c r="AI45" s="1199"/>
      <c r="AJ45" s="1199"/>
    </row>
    <row r="46" spans="1:36" hidden="1">
      <c r="A46" s="776" t="str">
        <f>+Ingresos!A76</f>
        <v>11205020103</v>
      </c>
      <c r="B46" s="777"/>
      <c r="C46" s="1198" t="s">
        <v>933</v>
      </c>
      <c r="D46" s="1199">
        <f t="shared" si="36"/>
        <v>0</v>
      </c>
      <c r="E46" s="1199">
        <f t="shared" si="36"/>
        <v>0</v>
      </c>
      <c r="F46" s="1165">
        <f t="shared" si="36"/>
        <v>0</v>
      </c>
      <c r="G46" s="1200"/>
      <c r="H46" s="1200"/>
      <c r="I46" s="1165">
        <f t="shared" si="37"/>
        <v>0</v>
      </c>
      <c r="J46" s="1165">
        <f t="shared" si="37"/>
        <v>0</v>
      </c>
      <c r="K46" s="1165">
        <f t="shared" si="37"/>
        <v>0</v>
      </c>
      <c r="L46" s="1165">
        <f>+Ingresos!C76</f>
        <v>0</v>
      </c>
      <c r="M46" s="1165">
        <f>+Ingresos!E76</f>
        <v>0</v>
      </c>
      <c r="N46" s="1165">
        <f>+Ingresos!H76</f>
        <v>0</v>
      </c>
      <c r="O46" s="1192"/>
      <c r="P46" s="1165" t="e">
        <f>+'Ingresos Proyecciones'!C68-('Ingresos Proyecciones'!C68*'Ley 617'!#REF!)</f>
        <v>#REF!</v>
      </c>
      <c r="Q46" s="1165" t="e">
        <f>+'Ingresos Proyecciones'!D68-('Ingresos Proyecciones'!D68*'Ley 617'!#REF!)</f>
        <v>#REF!</v>
      </c>
      <c r="R46" s="1165" t="e">
        <f>+'Ingresos Proyecciones'!E68-('Ingresos Proyecciones'!E68*'Ley 617'!#REF!)</f>
        <v>#REF!</v>
      </c>
      <c r="S46" s="1199" t="e">
        <f>+'Ingresos Proyecciones'!F68-('Ingresos Proyecciones'!F68*'Ley 617'!#REF!)</f>
        <v>#REF!</v>
      </c>
      <c r="T46" s="1199" t="e">
        <f>+'Ingresos Proyecciones'!G68-('Ingresos Proyecciones'!G68*'Ley 617'!#REF!)</f>
        <v>#REF!</v>
      </c>
      <c r="U46" s="1199" t="e">
        <f>+'Ingresos Proyecciones'!H68-('Ingresos Proyecciones'!H68*'Ley 617'!#REF!)</f>
        <v>#REF!</v>
      </c>
      <c r="V46" s="1199"/>
      <c r="W46" s="1199"/>
      <c r="X46" s="1199"/>
      <c r="Y46" s="1199"/>
      <c r="Z46" s="1199"/>
      <c r="AA46" s="1199"/>
      <c r="AB46" s="1199"/>
      <c r="AC46" s="1199"/>
      <c r="AD46" s="1199"/>
      <c r="AE46" s="1199"/>
      <c r="AF46" s="1199"/>
      <c r="AG46" s="1199"/>
      <c r="AH46" s="1199"/>
      <c r="AI46" s="1199"/>
      <c r="AJ46" s="1199"/>
    </row>
    <row r="47" spans="1:36" hidden="1">
      <c r="A47" s="776" t="str">
        <f>+Ingresos!A77</f>
        <v>11205020198</v>
      </c>
      <c r="B47" s="777"/>
      <c r="C47" s="1198" t="s">
        <v>935</v>
      </c>
      <c r="D47" s="1199">
        <f t="shared" si="36"/>
        <v>0</v>
      </c>
      <c r="E47" s="1199">
        <f t="shared" si="36"/>
        <v>0</v>
      </c>
      <c r="F47" s="1165">
        <f t="shared" si="36"/>
        <v>0</v>
      </c>
      <c r="G47" s="1200"/>
      <c r="H47" s="1200"/>
      <c r="I47" s="1165">
        <f t="shared" si="37"/>
        <v>0</v>
      </c>
      <c r="J47" s="1165">
        <f t="shared" si="37"/>
        <v>0</v>
      </c>
      <c r="K47" s="1165">
        <f t="shared" si="37"/>
        <v>0</v>
      </c>
      <c r="L47" s="1165">
        <f>+Ingresos!C77</f>
        <v>0</v>
      </c>
      <c r="M47" s="1165">
        <f>+Ingresos!E77</f>
        <v>0</v>
      </c>
      <c r="N47" s="1165">
        <f>+Ingresos!H77</f>
        <v>0</v>
      </c>
      <c r="O47" s="1192"/>
      <c r="P47" s="1165" t="e">
        <f>+'Ingresos Proyecciones'!C69-('Ingresos Proyecciones'!C69*'Ley 617'!#REF!)</f>
        <v>#REF!</v>
      </c>
      <c r="Q47" s="1165" t="e">
        <f>+'Ingresos Proyecciones'!D69-('Ingresos Proyecciones'!D69*'Ley 617'!#REF!)</f>
        <v>#REF!</v>
      </c>
      <c r="R47" s="1165" t="e">
        <f>+'Ingresos Proyecciones'!E69-('Ingresos Proyecciones'!E69*'Ley 617'!#REF!)</f>
        <v>#REF!</v>
      </c>
      <c r="S47" s="1199" t="e">
        <f>+'Ingresos Proyecciones'!F69-('Ingresos Proyecciones'!F69*'Ley 617'!#REF!)</f>
        <v>#REF!</v>
      </c>
      <c r="T47" s="1199" t="e">
        <f>+'Ingresos Proyecciones'!G69-('Ingresos Proyecciones'!G69*'Ley 617'!#REF!)</f>
        <v>#REF!</v>
      </c>
      <c r="U47" s="1199" t="e">
        <f>+'Ingresos Proyecciones'!H69-('Ingresos Proyecciones'!H69*'Ley 617'!#REF!)</f>
        <v>#REF!</v>
      </c>
      <c r="V47" s="1199"/>
      <c r="W47" s="1199"/>
      <c r="X47" s="1199"/>
      <c r="Y47" s="1199"/>
      <c r="Z47" s="1199"/>
      <c r="AA47" s="1199"/>
      <c r="AB47" s="1199"/>
      <c r="AC47" s="1199"/>
      <c r="AD47" s="1199"/>
      <c r="AE47" s="1199"/>
      <c r="AF47" s="1199"/>
      <c r="AG47" s="1199"/>
      <c r="AH47" s="1199"/>
      <c r="AI47" s="1199"/>
      <c r="AJ47" s="1199"/>
    </row>
    <row r="48" spans="1:36">
      <c r="A48" s="776" t="str">
        <f>+Ingresos!A78</f>
        <v>112050202</v>
      </c>
      <c r="B48" s="777"/>
      <c r="C48" s="1198" t="s">
        <v>937</v>
      </c>
      <c r="D48" s="1199">
        <f>SUM(D49:D51)</f>
        <v>7000</v>
      </c>
      <c r="E48" s="1199">
        <f>SUM(E49:E51)</f>
        <v>7000</v>
      </c>
      <c r="F48" s="1165">
        <f>SUM(F49:F51)</f>
        <v>0</v>
      </c>
      <c r="G48" s="1200"/>
      <c r="H48" s="1204"/>
      <c r="I48" s="1162">
        <f>SUM(I49:I51)</f>
        <v>0</v>
      </c>
      <c r="J48" s="1162">
        <f>SUM(J49:J51)</f>
        <v>0</v>
      </c>
      <c r="K48" s="1162">
        <f>SUM(K49:K51)</f>
        <v>0</v>
      </c>
      <c r="L48" s="1162">
        <f>+Ingresos!C78</f>
        <v>7000</v>
      </c>
      <c r="M48" s="1162">
        <f>+Ingresos!E78</f>
        <v>7000</v>
      </c>
      <c r="N48" s="1162">
        <f>+Ingresos!H78</f>
        <v>0</v>
      </c>
      <c r="O48" s="1192"/>
      <c r="P48" s="1162" t="e">
        <f>SUM(P49:P51)</f>
        <v>#REF!</v>
      </c>
      <c r="Q48" s="1162" t="e">
        <f t="shared" ref="Q48:AC48" si="38">SUM(Q49:Q51)</f>
        <v>#REF!</v>
      </c>
      <c r="R48" s="1162" t="e">
        <f t="shared" si="38"/>
        <v>#REF!</v>
      </c>
      <c r="S48" s="1194" t="e">
        <f t="shared" si="38"/>
        <v>#REF!</v>
      </c>
      <c r="T48" s="1194" t="e">
        <f t="shared" si="38"/>
        <v>#REF!</v>
      </c>
      <c r="U48" s="1194" t="e">
        <f t="shared" si="38"/>
        <v>#REF!</v>
      </c>
      <c r="V48" s="1194">
        <f t="shared" si="38"/>
        <v>0</v>
      </c>
      <c r="W48" s="1194">
        <f t="shared" si="38"/>
        <v>0</v>
      </c>
      <c r="X48" s="1194">
        <f t="shared" si="38"/>
        <v>0</v>
      </c>
      <c r="Y48" s="1194">
        <f t="shared" si="38"/>
        <v>0</v>
      </c>
      <c r="Z48" s="1194">
        <f t="shared" si="38"/>
        <v>0</v>
      </c>
      <c r="AA48" s="1194">
        <f t="shared" si="38"/>
        <v>0</v>
      </c>
      <c r="AB48" s="1194">
        <f t="shared" si="38"/>
        <v>0</v>
      </c>
      <c r="AC48" s="1194">
        <f t="shared" si="38"/>
        <v>0</v>
      </c>
      <c r="AD48" s="1194">
        <f t="shared" ref="AD48:AI48" si="39">SUM(AD49:AD51)</f>
        <v>0</v>
      </c>
      <c r="AE48" s="1194">
        <f t="shared" si="39"/>
        <v>0</v>
      </c>
      <c r="AF48" s="1194">
        <f t="shared" si="39"/>
        <v>0</v>
      </c>
      <c r="AG48" s="1194">
        <f t="shared" si="39"/>
        <v>0</v>
      </c>
      <c r="AH48" s="1194">
        <f t="shared" si="39"/>
        <v>0</v>
      </c>
      <c r="AI48" s="1194">
        <f t="shared" si="39"/>
        <v>0</v>
      </c>
      <c r="AJ48" s="1194">
        <f>SUM(AJ49:AJ51)</f>
        <v>0</v>
      </c>
    </row>
    <row r="49" spans="1:63" hidden="1">
      <c r="A49" s="776" t="str">
        <f>+Ingresos!A79</f>
        <v>1120501020101</v>
      </c>
      <c r="B49" s="777"/>
      <c r="C49" s="1198" t="s">
        <v>939</v>
      </c>
      <c r="D49" s="1199">
        <f t="shared" ref="D49:F51" si="40">+L49-I49</f>
        <v>0</v>
      </c>
      <c r="E49" s="1199">
        <f t="shared" si="40"/>
        <v>0</v>
      </c>
      <c r="F49" s="1165">
        <f t="shared" si="40"/>
        <v>0</v>
      </c>
      <c r="G49" s="1200"/>
      <c r="H49" s="1200"/>
      <c r="I49" s="1165">
        <f t="shared" ref="I49:K51" si="41">+$G49*L49</f>
        <v>0</v>
      </c>
      <c r="J49" s="1165">
        <f t="shared" si="41"/>
        <v>0</v>
      </c>
      <c r="K49" s="1165">
        <f t="shared" si="41"/>
        <v>0</v>
      </c>
      <c r="L49" s="1165">
        <f>+Ingresos!C79</f>
        <v>0</v>
      </c>
      <c r="M49" s="1165">
        <f>+Ingresos!E79</f>
        <v>0</v>
      </c>
      <c r="N49" s="1165">
        <f>+Ingresos!H79</f>
        <v>0</v>
      </c>
      <c r="O49" s="1192"/>
      <c r="P49" s="1165" t="e">
        <f>+'Ingresos Proyecciones'!C71-('Ingresos Proyecciones'!C71*'Ley 617'!#REF!)</f>
        <v>#REF!</v>
      </c>
      <c r="Q49" s="1165" t="e">
        <f>+'Ingresos Proyecciones'!D71-('Ingresos Proyecciones'!D71*'Ley 617'!#REF!)</f>
        <v>#REF!</v>
      </c>
      <c r="R49" s="1165" t="e">
        <f>+'Ingresos Proyecciones'!E71-('Ingresos Proyecciones'!E71*'Ley 617'!#REF!)</f>
        <v>#REF!</v>
      </c>
      <c r="S49" s="1199" t="e">
        <f>+'Ingresos Proyecciones'!F71-('Ingresos Proyecciones'!F71*'Ley 617'!#REF!)</f>
        <v>#REF!</v>
      </c>
      <c r="T49" s="1199" t="e">
        <f>+'Ingresos Proyecciones'!G71-('Ingresos Proyecciones'!G71*'Ley 617'!#REF!)</f>
        <v>#REF!</v>
      </c>
      <c r="U49" s="1199" t="e">
        <f>+'Ingresos Proyecciones'!H71-('Ingresos Proyecciones'!H71*'Ley 617'!#REF!)</f>
        <v>#REF!</v>
      </c>
      <c r="V49" s="1199"/>
      <c r="W49" s="1199"/>
      <c r="X49" s="1199"/>
      <c r="Y49" s="1199"/>
      <c r="Z49" s="1199"/>
      <c r="AA49" s="1199"/>
      <c r="AB49" s="1199"/>
      <c r="AC49" s="1199"/>
      <c r="AD49" s="1199"/>
      <c r="AE49" s="1199"/>
      <c r="AF49" s="1199"/>
      <c r="AG49" s="1199"/>
      <c r="AH49" s="1199"/>
      <c r="AI49" s="1199"/>
      <c r="AJ49" s="1199"/>
    </row>
    <row r="50" spans="1:63" ht="13.5" thickBot="1">
      <c r="A50" s="776" t="str">
        <f>+Ingresos!A80</f>
        <v>11205020806</v>
      </c>
      <c r="B50" s="777"/>
      <c r="C50" s="1198" t="s">
        <v>941</v>
      </c>
      <c r="D50" s="1199">
        <f t="shared" si="40"/>
        <v>7000</v>
      </c>
      <c r="E50" s="1199">
        <f t="shared" si="40"/>
        <v>7000</v>
      </c>
      <c r="F50" s="1165">
        <f t="shared" si="40"/>
        <v>0</v>
      </c>
      <c r="G50" s="1200"/>
      <c r="H50" s="1200"/>
      <c r="I50" s="1165">
        <f t="shared" si="41"/>
        <v>0</v>
      </c>
      <c r="J50" s="1165">
        <f t="shared" si="41"/>
        <v>0</v>
      </c>
      <c r="K50" s="1165">
        <f t="shared" si="41"/>
        <v>0</v>
      </c>
      <c r="L50" s="1165">
        <f>+Ingresos!C80</f>
        <v>7000</v>
      </c>
      <c r="M50" s="1165">
        <f>+Ingresos!E80</f>
        <v>7000</v>
      </c>
      <c r="N50" s="1165">
        <f>+Ingresos!H80</f>
        <v>0</v>
      </c>
      <c r="O50" s="1192"/>
      <c r="P50" s="1165" t="e">
        <f>+'Ingresos Proyecciones'!C72-('Ingresos Proyecciones'!C72*'Ley 617'!#REF!)</f>
        <v>#REF!</v>
      </c>
      <c r="Q50" s="1165" t="e">
        <f>+'Ingresos Proyecciones'!D72-('Ingresos Proyecciones'!D72*'Ley 617'!#REF!)</f>
        <v>#REF!</v>
      </c>
      <c r="R50" s="1165" t="e">
        <f>+'Ingresos Proyecciones'!E72-('Ingresos Proyecciones'!E72*'Ley 617'!#REF!)</f>
        <v>#REF!</v>
      </c>
      <c r="S50" s="1199" t="e">
        <f>+'Ingresos Proyecciones'!F72-('Ingresos Proyecciones'!F72*'Ley 617'!#REF!)</f>
        <v>#REF!</v>
      </c>
      <c r="T50" s="1199" t="e">
        <f>+'Ingresos Proyecciones'!G72-('Ingresos Proyecciones'!G72*'Ley 617'!#REF!)</f>
        <v>#REF!</v>
      </c>
      <c r="U50" s="1199" t="e">
        <f>+'Ingresos Proyecciones'!H72-('Ingresos Proyecciones'!H72*'Ley 617'!#REF!)</f>
        <v>#REF!</v>
      </c>
      <c r="V50" s="1199">
        <f>+'Ingresos Proyecciones'!I72</f>
        <v>0</v>
      </c>
      <c r="W50" s="1199">
        <f>+'Ingresos Proyecciones'!J72</f>
        <v>0</v>
      </c>
      <c r="X50" s="1199">
        <f>+'Ingresos Proyecciones'!K72</f>
        <v>0</v>
      </c>
      <c r="Y50" s="1199">
        <f>+'Ingresos Proyecciones'!L72</f>
        <v>0</v>
      </c>
      <c r="Z50" s="1199">
        <f>+'Ingresos Proyecciones'!M72</f>
        <v>0</v>
      </c>
      <c r="AA50" s="1199">
        <f>+'Ingresos Proyecciones'!N72</f>
        <v>0</v>
      </c>
      <c r="AB50" s="1199">
        <f>+'Ingresos Proyecciones'!O72</f>
        <v>0</v>
      </c>
      <c r="AC50" s="1199">
        <f>+'Ingresos Proyecciones'!P72</f>
        <v>0</v>
      </c>
      <c r="AD50" s="1199">
        <f>+'Ingresos Proyecciones'!Q72</f>
        <v>0</v>
      </c>
      <c r="AE50" s="1199">
        <f>+'Ingresos Proyecciones'!R72</f>
        <v>0</v>
      </c>
      <c r="AF50" s="1199">
        <f>+'Ingresos Proyecciones'!S72</f>
        <v>0</v>
      </c>
      <c r="AG50" s="1199">
        <f>+'Ingresos Proyecciones'!T72</f>
        <v>0</v>
      </c>
      <c r="AH50" s="1199">
        <f>+'Ingresos Proyecciones'!U72</f>
        <v>0</v>
      </c>
      <c r="AI50" s="1199">
        <f>+'Ingresos Proyecciones'!V72</f>
        <v>0</v>
      </c>
      <c r="AJ50" s="1199">
        <f>+'Ingresos Proyecciones'!W72</f>
        <v>0</v>
      </c>
    </row>
    <row r="51" spans="1:63" ht="13.5" hidden="1" thickBot="1">
      <c r="A51" s="776" t="str">
        <f>+Ingresos!A81</f>
        <v>11205010298</v>
      </c>
      <c r="B51" s="777"/>
      <c r="C51" s="1198" t="s">
        <v>943</v>
      </c>
      <c r="D51" s="1199">
        <f t="shared" si="40"/>
        <v>0</v>
      </c>
      <c r="E51" s="1199">
        <f t="shared" si="40"/>
        <v>0</v>
      </c>
      <c r="F51" s="1165">
        <f t="shared" si="40"/>
        <v>0</v>
      </c>
      <c r="G51" s="1200"/>
      <c r="H51" s="1200"/>
      <c r="I51" s="1165">
        <f t="shared" si="41"/>
        <v>0</v>
      </c>
      <c r="J51" s="1165">
        <f t="shared" si="41"/>
        <v>0</v>
      </c>
      <c r="K51" s="1165">
        <f t="shared" si="41"/>
        <v>0</v>
      </c>
      <c r="L51" s="1165">
        <f>+Ingresos!C81</f>
        <v>0</v>
      </c>
      <c r="M51" s="1165">
        <f>+Ingresos!E81</f>
        <v>0</v>
      </c>
      <c r="N51" s="1165">
        <f>+Ingresos!H81</f>
        <v>0</v>
      </c>
      <c r="O51" s="1192"/>
      <c r="P51" s="1165" t="e">
        <f>+'Ingresos Proyecciones'!C73-('Ingresos Proyecciones'!C73*'Ley 617'!#REF!)</f>
        <v>#REF!</v>
      </c>
      <c r="Q51" s="1165" t="e">
        <f>+'Ingresos Proyecciones'!D73-('Ingresos Proyecciones'!D73*'Ley 617'!#REF!)</f>
        <v>#REF!</v>
      </c>
      <c r="R51" s="1165" t="e">
        <f>+'Ingresos Proyecciones'!E73-('Ingresos Proyecciones'!E73*'Ley 617'!#REF!)</f>
        <v>#REF!</v>
      </c>
      <c r="S51" s="1199" t="e">
        <f>+'Ingresos Proyecciones'!F73-('Ingresos Proyecciones'!F73*'Ley 617'!#REF!)</f>
        <v>#REF!</v>
      </c>
      <c r="T51" s="1199" t="e">
        <f>+'Ingresos Proyecciones'!G73-('Ingresos Proyecciones'!G73*'Ley 617'!#REF!)</f>
        <v>#REF!</v>
      </c>
      <c r="U51" s="1199" t="e">
        <f>+'Ingresos Proyecciones'!H73-('Ingresos Proyecciones'!H73*'Ley 617'!#REF!)</f>
        <v>#REF!</v>
      </c>
      <c r="V51" s="1199"/>
      <c r="W51" s="1199"/>
      <c r="X51" s="1199"/>
      <c r="Y51" s="1199"/>
      <c r="Z51" s="1199"/>
      <c r="AA51" s="1199"/>
      <c r="AB51" s="1199"/>
      <c r="AC51" s="1199"/>
      <c r="AD51" s="1199"/>
      <c r="AE51" s="1199"/>
      <c r="AF51" s="1199"/>
      <c r="AG51" s="1199"/>
      <c r="AH51" s="1199"/>
      <c r="AI51" s="1199"/>
      <c r="AJ51" s="1199"/>
    </row>
    <row r="52" spans="1:63" ht="13.5" hidden="1" thickBot="1">
      <c r="A52" s="776" t="str">
        <f>+Ingresos!A82</f>
        <v>11206</v>
      </c>
      <c r="B52" s="777"/>
      <c r="C52" s="1198" t="s">
        <v>945</v>
      </c>
      <c r="D52" s="1199">
        <f>SUM(D53:D55)</f>
        <v>0</v>
      </c>
      <c r="E52" s="1199">
        <f>SUM(E53:E55)</f>
        <v>0</v>
      </c>
      <c r="F52" s="1165">
        <f>SUM(F53:F55)</f>
        <v>0</v>
      </c>
      <c r="G52" s="1200"/>
      <c r="H52" s="1204"/>
      <c r="I52" s="1162">
        <f>SUM(I53:I55)</f>
        <v>709643</v>
      </c>
      <c r="J52" s="1162">
        <f>SUM(J53:J55)</f>
        <v>709643</v>
      </c>
      <c r="K52" s="1162">
        <f>SUM(K53:K55)</f>
        <v>0</v>
      </c>
      <c r="L52" s="1162">
        <f>+Ingresos!C82</f>
        <v>709643</v>
      </c>
      <c r="M52" s="1162">
        <f>+Ingresos!E82</f>
        <v>709643</v>
      </c>
      <c r="N52" s="1162">
        <f>+Ingresos!H82</f>
        <v>0</v>
      </c>
      <c r="O52" s="1192"/>
      <c r="P52" s="1162" t="e">
        <f>SUM(P53:P55)</f>
        <v>#REF!</v>
      </c>
      <c r="Q52" s="1162" t="e">
        <f t="shared" ref="Q52:AC52" si="42">SUM(Q53:Q55)</f>
        <v>#REF!</v>
      </c>
      <c r="R52" s="1162" t="e">
        <f t="shared" si="42"/>
        <v>#REF!</v>
      </c>
      <c r="S52" s="1194" t="e">
        <f t="shared" si="42"/>
        <v>#REF!</v>
      </c>
      <c r="T52" s="1194" t="e">
        <f t="shared" si="42"/>
        <v>#REF!</v>
      </c>
      <c r="U52" s="1194" t="e">
        <f t="shared" si="42"/>
        <v>#REF!</v>
      </c>
      <c r="V52" s="1194">
        <f t="shared" si="42"/>
        <v>0</v>
      </c>
      <c r="W52" s="1194">
        <f t="shared" si="42"/>
        <v>0</v>
      </c>
      <c r="X52" s="1194">
        <f t="shared" si="42"/>
        <v>0</v>
      </c>
      <c r="Y52" s="1194">
        <f t="shared" si="42"/>
        <v>0</v>
      </c>
      <c r="Z52" s="1194">
        <f t="shared" si="42"/>
        <v>0</v>
      </c>
      <c r="AA52" s="1194">
        <f t="shared" si="42"/>
        <v>0</v>
      </c>
      <c r="AB52" s="1194">
        <f t="shared" si="42"/>
        <v>0</v>
      </c>
      <c r="AC52" s="1194">
        <f t="shared" si="42"/>
        <v>0</v>
      </c>
      <c r="AD52" s="1194">
        <f t="shared" ref="AD52:AI52" si="43">SUM(AD53:AD55)</f>
        <v>0</v>
      </c>
      <c r="AE52" s="1194">
        <f t="shared" si="43"/>
        <v>0</v>
      </c>
      <c r="AF52" s="1194">
        <f t="shared" si="43"/>
        <v>0</v>
      </c>
      <c r="AG52" s="1194">
        <f t="shared" si="43"/>
        <v>0</v>
      </c>
      <c r="AH52" s="1194">
        <f t="shared" si="43"/>
        <v>0</v>
      </c>
      <c r="AI52" s="1194">
        <f t="shared" si="43"/>
        <v>0</v>
      </c>
      <c r="AJ52" s="1194">
        <f>SUM(AJ53:AJ55)</f>
        <v>0</v>
      </c>
    </row>
    <row r="53" spans="1:63" ht="13.5" hidden="1" thickBot="1">
      <c r="A53" s="776" t="str">
        <f>+Ingresos!A83</f>
        <v>1120601</v>
      </c>
      <c r="B53" s="777"/>
      <c r="C53" s="1198" t="s">
        <v>947</v>
      </c>
      <c r="D53" s="1199">
        <f t="shared" ref="D53:F56" si="44">+L53-I53</f>
        <v>0</v>
      </c>
      <c r="E53" s="1199">
        <f t="shared" si="44"/>
        <v>0</v>
      </c>
      <c r="F53" s="1165">
        <f t="shared" si="44"/>
        <v>0</v>
      </c>
      <c r="G53" s="1200"/>
      <c r="H53" s="1200"/>
      <c r="I53" s="1165">
        <f t="shared" ref="I53:K56" si="45">+$G53*L53</f>
        <v>0</v>
      </c>
      <c r="J53" s="1165">
        <f t="shared" si="45"/>
        <v>0</v>
      </c>
      <c r="K53" s="1165">
        <f t="shared" si="45"/>
        <v>0</v>
      </c>
      <c r="L53" s="1165">
        <f>+Ingresos!C83</f>
        <v>0</v>
      </c>
      <c r="M53" s="1165">
        <f>+Ingresos!E83</f>
        <v>0</v>
      </c>
      <c r="N53" s="1165">
        <f>+Ingresos!H83</f>
        <v>0</v>
      </c>
      <c r="O53" s="1192"/>
      <c r="P53" s="1165" t="e">
        <f>+'Ingresos Proyecciones'!C75-('Ingresos Proyecciones'!C75*'Ley 617'!#REF!)</f>
        <v>#REF!</v>
      </c>
      <c r="Q53" s="1165" t="e">
        <f>+'Ingresos Proyecciones'!D75-('Ingresos Proyecciones'!D75*'Ley 617'!#REF!)</f>
        <v>#REF!</v>
      </c>
      <c r="R53" s="1165" t="e">
        <f>+'Ingresos Proyecciones'!E75-('Ingresos Proyecciones'!E75*'Ley 617'!#REF!)</f>
        <v>#REF!</v>
      </c>
      <c r="S53" s="1199" t="e">
        <f>+'Ingresos Proyecciones'!F75-('Ingresos Proyecciones'!F75*'Ley 617'!#REF!)</f>
        <v>#REF!</v>
      </c>
      <c r="T53" s="1199" t="e">
        <f>+'Ingresos Proyecciones'!G75-('Ingresos Proyecciones'!G75*'Ley 617'!#REF!)</f>
        <v>#REF!</v>
      </c>
      <c r="U53" s="1199" t="e">
        <f>+'Ingresos Proyecciones'!H75-('Ingresos Proyecciones'!H75*'Ley 617'!#REF!)</f>
        <v>#REF!</v>
      </c>
      <c r="V53" s="1199"/>
      <c r="W53" s="1199"/>
      <c r="X53" s="1199"/>
      <c r="Y53" s="1199"/>
      <c r="Z53" s="1199"/>
      <c r="AA53" s="1199"/>
      <c r="AB53" s="1199"/>
      <c r="AC53" s="1199"/>
      <c r="AD53" s="1199"/>
      <c r="AE53" s="1199"/>
      <c r="AF53" s="1199"/>
      <c r="AG53" s="1199"/>
      <c r="AH53" s="1199"/>
      <c r="AI53" s="1199"/>
      <c r="AJ53" s="1199"/>
    </row>
    <row r="54" spans="1:63" ht="13.5" hidden="1" thickBot="1">
      <c r="A54" s="776" t="str">
        <f>+Ingresos!A84</f>
        <v>1120605</v>
      </c>
      <c r="B54" s="777"/>
      <c r="C54" s="1198" t="s">
        <v>949</v>
      </c>
      <c r="D54" s="1199">
        <f t="shared" si="44"/>
        <v>0</v>
      </c>
      <c r="E54" s="1199">
        <f t="shared" si="44"/>
        <v>0</v>
      </c>
      <c r="F54" s="1165">
        <f t="shared" si="44"/>
        <v>0</v>
      </c>
      <c r="G54" s="1200"/>
      <c r="H54" s="1200"/>
      <c r="I54" s="1165">
        <f t="shared" si="45"/>
        <v>0</v>
      </c>
      <c r="J54" s="1165">
        <f t="shared" si="45"/>
        <v>0</v>
      </c>
      <c r="K54" s="1165">
        <f t="shared" si="45"/>
        <v>0</v>
      </c>
      <c r="L54" s="1165">
        <f>+Ingresos!C84</f>
        <v>0</v>
      </c>
      <c r="M54" s="1165">
        <f>+Ingresos!E84</f>
        <v>0</v>
      </c>
      <c r="N54" s="1165">
        <f>+Ingresos!H84</f>
        <v>0</v>
      </c>
      <c r="O54" s="1192"/>
      <c r="P54" s="1165" t="e">
        <f>+'Ingresos Proyecciones'!C76-('Ingresos Proyecciones'!C76*'Ley 617'!#REF!)</f>
        <v>#REF!</v>
      </c>
      <c r="Q54" s="1165" t="e">
        <f>+'Ingresos Proyecciones'!D76-('Ingresos Proyecciones'!D76*'Ley 617'!#REF!)</f>
        <v>#REF!</v>
      </c>
      <c r="R54" s="1165" t="e">
        <f>+'Ingresos Proyecciones'!E76-('Ingresos Proyecciones'!E76*'Ley 617'!#REF!)</f>
        <v>#REF!</v>
      </c>
      <c r="S54" s="1199" t="e">
        <f>+'Ingresos Proyecciones'!F76-('Ingresos Proyecciones'!F76*'Ley 617'!#REF!)</f>
        <v>#REF!</v>
      </c>
      <c r="T54" s="1199" t="e">
        <f>+'Ingresos Proyecciones'!G76-('Ingresos Proyecciones'!G76*'Ley 617'!#REF!)</f>
        <v>#REF!</v>
      </c>
      <c r="U54" s="1199" t="e">
        <f>+'Ingresos Proyecciones'!H76-('Ingresos Proyecciones'!H76*'Ley 617'!#REF!)</f>
        <v>#REF!</v>
      </c>
      <c r="V54" s="1199"/>
      <c r="W54" s="1199"/>
      <c r="X54" s="1199"/>
      <c r="Y54" s="1199"/>
      <c r="Z54" s="1199"/>
      <c r="AA54" s="1199"/>
      <c r="AB54" s="1199"/>
      <c r="AC54" s="1199"/>
      <c r="AD54" s="1199"/>
      <c r="AE54" s="1199"/>
      <c r="AF54" s="1199"/>
      <c r="AG54" s="1199"/>
      <c r="AH54" s="1199"/>
      <c r="AI54" s="1199"/>
      <c r="AJ54" s="1199"/>
    </row>
    <row r="55" spans="1:63" ht="13.5" hidden="1" thickBot="1">
      <c r="A55" s="776" t="str">
        <f>+Ingresos!A85</f>
        <v>5A</v>
      </c>
      <c r="B55" s="777"/>
      <c r="C55" s="1198" t="s">
        <v>951</v>
      </c>
      <c r="D55" s="1199">
        <f t="shared" si="44"/>
        <v>0</v>
      </c>
      <c r="E55" s="1199">
        <f t="shared" si="44"/>
        <v>0</v>
      </c>
      <c r="F55" s="1165">
        <f t="shared" si="44"/>
        <v>0</v>
      </c>
      <c r="G55" s="1200">
        <v>1</v>
      </c>
      <c r="H55" s="1200"/>
      <c r="I55" s="1165">
        <f t="shared" si="45"/>
        <v>709643</v>
      </c>
      <c r="J55" s="1165">
        <f t="shared" si="45"/>
        <v>709643</v>
      </c>
      <c r="K55" s="1165">
        <f t="shared" si="45"/>
        <v>0</v>
      </c>
      <c r="L55" s="1165">
        <f>+Ingresos!C85</f>
        <v>709643</v>
      </c>
      <c r="M55" s="1165">
        <f>+Ingresos!E85</f>
        <v>709643</v>
      </c>
      <c r="N55" s="1165">
        <f>+Ingresos!H85</f>
        <v>0</v>
      </c>
      <c r="O55" s="1192"/>
      <c r="P55" s="1165" t="e">
        <f>+'Ingresos Proyecciones'!C77-('Ingresos Proyecciones'!C77*'Ley 617'!#REF!)</f>
        <v>#REF!</v>
      </c>
      <c r="Q55" s="1165" t="e">
        <f>+'Ingresos Proyecciones'!D77-('Ingresos Proyecciones'!D77*'Ley 617'!#REF!)</f>
        <v>#REF!</v>
      </c>
      <c r="R55" s="1165" t="e">
        <f>+'Ingresos Proyecciones'!E77-('Ingresos Proyecciones'!E77*'Ley 617'!#REF!)</f>
        <v>#REF!</v>
      </c>
      <c r="S55" s="1199" t="e">
        <f>+'Ingresos Proyecciones'!F77-('Ingresos Proyecciones'!F77*'Ley 617'!#REF!)</f>
        <v>#REF!</v>
      </c>
      <c r="T55" s="1199" t="e">
        <f>+'Ingresos Proyecciones'!G77-('Ingresos Proyecciones'!G77*'Ley 617'!#REF!)</f>
        <v>#REF!</v>
      </c>
      <c r="U55" s="1199" t="e">
        <f>+'Ingresos Proyecciones'!H77-('Ingresos Proyecciones'!H77*'Ley 617'!#REF!)</f>
        <v>#REF!</v>
      </c>
      <c r="V55" s="1199"/>
      <c r="W55" s="1199"/>
      <c r="X55" s="1199"/>
      <c r="Y55" s="1199"/>
      <c r="Z55" s="1199"/>
      <c r="AA55" s="1199"/>
      <c r="AB55" s="1199"/>
      <c r="AC55" s="1199"/>
      <c r="AD55" s="1199"/>
      <c r="AE55" s="1199"/>
      <c r="AF55" s="1199"/>
      <c r="AG55" s="1199"/>
      <c r="AH55" s="1199"/>
      <c r="AI55" s="1199"/>
      <c r="AJ55" s="1199"/>
    </row>
    <row r="56" spans="1:63" ht="13.5" hidden="1" thickBot="1">
      <c r="A56" s="776" t="str">
        <f>+Ingresos!A86</f>
        <v>11298</v>
      </c>
      <c r="B56" s="777"/>
      <c r="C56" s="1198" t="s">
        <v>953</v>
      </c>
      <c r="D56" s="1199">
        <f t="shared" si="44"/>
        <v>0</v>
      </c>
      <c r="E56" s="1199">
        <f t="shared" si="44"/>
        <v>0</v>
      </c>
      <c r="F56" s="1165">
        <f t="shared" si="44"/>
        <v>0</v>
      </c>
      <c r="G56" s="1200"/>
      <c r="H56" s="1200"/>
      <c r="I56" s="1165">
        <f t="shared" si="45"/>
        <v>0</v>
      </c>
      <c r="J56" s="1165">
        <f t="shared" si="45"/>
        <v>0</v>
      </c>
      <c r="K56" s="1165">
        <f t="shared" si="45"/>
        <v>0</v>
      </c>
      <c r="L56" s="1162">
        <f>+Ingresos!C86</f>
        <v>0</v>
      </c>
      <c r="M56" s="1162">
        <f>+Ingresos!E86</f>
        <v>0</v>
      </c>
      <c r="N56" s="1165">
        <f>+Ingresos!H86</f>
        <v>0</v>
      </c>
      <c r="O56" s="1192"/>
      <c r="P56" s="1165" t="e">
        <f>+'Ingresos Proyecciones'!C78-('Ingresos Proyecciones'!C78*'Ley 617'!#REF!)</f>
        <v>#REF!</v>
      </c>
      <c r="Q56" s="1165" t="e">
        <f>+'Ingresos Proyecciones'!D78-('Ingresos Proyecciones'!D78*'Ley 617'!#REF!)</f>
        <v>#REF!</v>
      </c>
      <c r="R56" s="1165" t="e">
        <f>+'Ingresos Proyecciones'!E78-('Ingresos Proyecciones'!E78*'Ley 617'!#REF!)</f>
        <v>#REF!</v>
      </c>
      <c r="S56" s="1199" t="e">
        <f>+'Ingresos Proyecciones'!F78-('Ingresos Proyecciones'!F78*'Ley 617'!#REF!)</f>
        <v>#REF!</v>
      </c>
      <c r="T56" s="1199" t="e">
        <f>+'Ingresos Proyecciones'!G78-('Ingresos Proyecciones'!G78*'Ley 617'!#REF!)</f>
        <v>#REF!</v>
      </c>
      <c r="U56" s="1199" t="e">
        <f>+'Ingresos Proyecciones'!H78-('Ingresos Proyecciones'!H78*'Ley 617'!#REF!)</f>
        <v>#REF!</v>
      </c>
      <c r="V56" s="1199"/>
      <c r="W56" s="1199"/>
      <c r="X56" s="1199"/>
      <c r="Y56" s="1199"/>
      <c r="Z56" s="1199"/>
      <c r="AA56" s="1199"/>
      <c r="AB56" s="1199"/>
      <c r="AC56" s="1199"/>
      <c r="AD56" s="1199"/>
      <c r="AE56" s="1199"/>
      <c r="AF56" s="1199"/>
      <c r="AG56" s="1199"/>
      <c r="AH56" s="1199"/>
      <c r="AI56" s="1199"/>
      <c r="AJ56" s="1199"/>
    </row>
    <row r="57" spans="1:63" ht="13.5" hidden="1" thickBot="1">
      <c r="A57" s="776" t="str">
        <f>+Ingresos!A113</f>
        <v>12202</v>
      </c>
      <c r="B57" s="777"/>
      <c r="C57" s="1198" t="s">
        <v>1006</v>
      </c>
      <c r="D57" s="1210"/>
      <c r="E57" s="1210"/>
      <c r="F57" s="1163"/>
      <c r="G57" s="1200"/>
      <c r="H57" s="1204"/>
      <c r="I57" s="1163"/>
      <c r="J57" s="1163"/>
      <c r="K57" s="1163"/>
      <c r="L57" s="1195"/>
      <c r="M57" s="1195"/>
      <c r="N57" s="1195"/>
      <c r="O57" s="1192"/>
      <c r="P57" s="1165"/>
      <c r="Q57" s="1165"/>
      <c r="R57" s="1165"/>
      <c r="S57" s="1199"/>
      <c r="T57" s="1199"/>
      <c r="U57" s="1199"/>
      <c r="V57" s="1199"/>
      <c r="W57" s="1199"/>
      <c r="X57" s="1199"/>
      <c r="Y57" s="1199"/>
      <c r="Z57" s="1199"/>
      <c r="AA57" s="1199"/>
      <c r="AB57" s="1199"/>
      <c r="AC57" s="1199"/>
      <c r="AD57" s="1199"/>
      <c r="AE57" s="1199"/>
      <c r="AF57" s="1199"/>
      <c r="AG57" s="1199"/>
      <c r="AH57" s="1199"/>
      <c r="AI57" s="1199"/>
      <c r="AJ57" s="1199"/>
    </row>
    <row r="58" spans="1:63" ht="13.5" hidden="1" thickBot="1">
      <c r="A58" s="778" t="str">
        <f>+Ingresos!A114</f>
        <v>1220201</v>
      </c>
      <c r="B58" s="779"/>
      <c r="C58" s="1198" t="s">
        <v>1008</v>
      </c>
      <c r="D58" s="1199">
        <f>+L58-I58</f>
        <v>0</v>
      </c>
      <c r="E58" s="1199">
        <f>+M58-J58</f>
        <v>0</v>
      </c>
      <c r="F58" s="1165">
        <f>+N58-K58</f>
        <v>0</v>
      </c>
      <c r="G58" s="1200"/>
      <c r="H58" s="1200"/>
      <c r="I58" s="1165">
        <f t="shared" ref="I58:K59" si="46">+$G58*L58</f>
        <v>0</v>
      </c>
      <c r="J58" s="1165">
        <f t="shared" si="46"/>
        <v>0</v>
      </c>
      <c r="K58" s="1165">
        <f t="shared" si="46"/>
        <v>0</v>
      </c>
      <c r="L58" s="1165">
        <f>+Ingresos!C114</f>
        <v>0</v>
      </c>
      <c r="M58" s="1165">
        <f>+Ingresos!E114</f>
        <v>0</v>
      </c>
      <c r="N58" s="1165">
        <f>+Ingresos!H114</f>
        <v>0</v>
      </c>
      <c r="O58" s="1192"/>
      <c r="P58" s="1165" t="e">
        <f>+'Ingresos Proyecciones'!C106-('Ingresos Proyecciones'!C106*'Ley 617'!#REF!)</f>
        <v>#REF!</v>
      </c>
      <c r="Q58" s="1165" t="e">
        <f>+'Ingresos Proyecciones'!D106-('Ingresos Proyecciones'!D106*'Ley 617'!#REF!)</f>
        <v>#REF!</v>
      </c>
      <c r="R58" s="1165" t="e">
        <f>+'Ingresos Proyecciones'!E106-('Ingresos Proyecciones'!E106*'Ley 617'!#REF!)</f>
        <v>#REF!</v>
      </c>
      <c r="S58" s="1199" t="e">
        <f>+'Ingresos Proyecciones'!F106-('Ingresos Proyecciones'!F106*'Ley 617'!#REF!)</f>
        <v>#REF!</v>
      </c>
      <c r="T58" s="1199" t="e">
        <f>+'Ingresos Proyecciones'!G106-('Ingresos Proyecciones'!G106*'Ley 617'!#REF!)</f>
        <v>#REF!</v>
      </c>
      <c r="U58" s="1199" t="e">
        <f>+'Ingresos Proyecciones'!H106-('Ingresos Proyecciones'!H106*'Ley 617'!#REF!)</f>
        <v>#REF!</v>
      </c>
      <c r="V58" s="1199"/>
      <c r="W58" s="1199"/>
      <c r="X58" s="1199"/>
      <c r="Y58" s="1199"/>
      <c r="Z58" s="1199"/>
      <c r="AA58" s="1199"/>
      <c r="AB58" s="1199"/>
      <c r="AC58" s="1199"/>
      <c r="AD58" s="1199"/>
      <c r="AE58" s="1199"/>
      <c r="AF58" s="1199"/>
      <c r="AG58" s="1199"/>
      <c r="AH58" s="1199"/>
      <c r="AI58" s="1199"/>
      <c r="AJ58" s="1199"/>
    </row>
    <row r="59" spans="1:63" s="5" customFormat="1" ht="13.5" thickBot="1">
      <c r="A59" s="371" t="s">
        <v>164</v>
      </c>
      <c r="B59" s="24"/>
      <c r="C59" s="1211" t="s">
        <v>165</v>
      </c>
      <c r="D59" s="1194" t="e">
        <f>L59-I59</f>
        <v>#REF!</v>
      </c>
      <c r="E59" s="1194" t="e">
        <f>+M59-J59</f>
        <v>#REF!</v>
      </c>
      <c r="F59" s="1162" t="e">
        <f>+N59-K59</f>
        <v>#REF!</v>
      </c>
      <c r="G59" s="1197"/>
      <c r="H59" s="1197"/>
      <c r="I59" s="1162" t="e">
        <f t="shared" si="46"/>
        <v>#REF!</v>
      </c>
      <c r="J59" s="1162" t="e">
        <f t="shared" si="46"/>
        <v>#REF!</v>
      </c>
      <c r="K59" s="1162" t="e">
        <f t="shared" si="46"/>
        <v>#REF!</v>
      </c>
      <c r="L59" s="1045" t="e">
        <f>+D9</f>
        <v>#REF!</v>
      </c>
      <c r="M59" s="1045" t="e">
        <f>+E9</f>
        <v>#REF!</v>
      </c>
      <c r="N59" s="1045" t="e">
        <f>+F9</f>
        <v>#REF!</v>
      </c>
      <c r="O59" s="1192"/>
      <c r="P59" s="1162" t="e">
        <f t="shared" ref="P59:AC59" si="47">+P9</f>
        <v>#REF!</v>
      </c>
      <c r="Q59" s="1162" t="e">
        <f t="shared" si="47"/>
        <v>#REF!</v>
      </c>
      <c r="R59" s="1162" t="e">
        <f t="shared" si="47"/>
        <v>#REF!</v>
      </c>
      <c r="S59" s="1194" t="e">
        <f t="shared" si="47"/>
        <v>#REF!</v>
      </c>
      <c r="T59" s="1194" t="e">
        <f t="shared" si="47"/>
        <v>#REF!</v>
      </c>
      <c r="U59" s="1194" t="e">
        <f t="shared" si="47"/>
        <v>#REF!</v>
      </c>
      <c r="V59" s="1194">
        <f t="shared" si="47"/>
        <v>897906</v>
      </c>
      <c r="W59" s="1194">
        <f t="shared" si="47"/>
        <v>761820.6</v>
      </c>
      <c r="X59" s="1194">
        <f t="shared" si="47"/>
        <v>792293.42400000012</v>
      </c>
      <c r="Y59" s="1194">
        <f t="shared" si="47"/>
        <v>823985.16096000024</v>
      </c>
      <c r="Z59" s="1194">
        <f t="shared" si="47"/>
        <v>868944.56739840016</v>
      </c>
      <c r="AA59" s="1194">
        <f t="shared" si="47"/>
        <v>903702.3500943362</v>
      </c>
      <c r="AB59" s="1194">
        <f t="shared" si="47"/>
        <v>939850.44409810961</v>
      </c>
      <c r="AC59" s="1194">
        <f t="shared" si="47"/>
        <v>977444.46186203405</v>
      </c>
      <c r="AD59" s="1194">
        <f t="shared" ref="AD59:AI59" si="48">+AD9</f>
        <v>1016542.2403365155</v>
      </c>
      <c r="AE59" s="1194">
        <f t="shared" si="48"/>
        <v>1057203.929949976</v>
      </c>
      <c r="AF59" s="1194">
        <f t="shared" si="48"/>
        <v>1099492.0871479751</v>
      </c>
      <c r="AG59" s="1194">
        <f t="shared" si="48"/>
        <v>1143471.7706338943</v>
      </c>
      <c r="AH59" s="1194">
        <f t="shared" si="48"/>
        <v>1189210.6414592499</v>
      </c>
      <c r="AI59" s="1194">
        <f t="shared" si="48"/>
        <v>1236779.0671176203</v>
      </c>
      <c r="AJ59" s="1194">
        <f>+AJ9</f>
        <v>1286250.2298023249</v>
      </c>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row>
    <row r="60" spans="1:63" s="378" customFormat="1" ht="1.5" hidden="1" customHeight="1" thickBot="1">
      <c r="A60" s="468"/>
      <c r="B60" s="468"/>
      <c r="C60" s="1186"/>
      <c r="D60" s="984"/>
      <c r="E60" s="984"/>
      <c r="G60" s="452"/>
      <c r="H60" s="452"/>
      <c r="I60" s="452"/>
      <c r="J60" s="452"/>
      <c r="K60" s="452"/>
      <c r="L60" s="452"/>
      <c r="M60" s="452"/>
      <c r="N60" s="452"/>
      <c r="O60" s="949"/>
      <c r="S60" s="979"/>
      <c r="T60" s="979"/>
      <c r="U60" s="979"/>
      <c r="V60" s="979"/>
      <c r="W60" s="979"/>
      <c r="X60" s="979"/>
      <c r="Y60" s="979"/>
      <c r="Z60" s="979"/>
      <c r="AA60" s="979"/>
      <c r="AB60" s="979"/>
      <c r="AC60" s="979"/>
      <c r="AD60" s="979"/>
      <c r="AE60" s="979"/>
      <c r="AF60" s="979"/>
      <c r="AG60" s="979"/>
      <c r="AH60" s="979"/>
      <c r="AI60" s="979"/>
    </row>
    <row r="61" spans="1:63" s="378" customFormat="1" ht="1.5" hidden="1" customHeight="1">
      <c r="A61" s="468"/>
      <c r="B61" s="468"/>
      <c r="C61" s="1186"/>
      <c r="D61" s="984"/>
      <c r="E61" s="984"/>
      <c r="G61" s="452"/>
      <c r="H61" s="452"/>
      <c r="I61" s="452"/>
      <c r="J61" s="452"/>
      <c r="K61" s="452"/>
      <c r="L61" s="452"/>
      <c r="M61" s="452"/>
      <c r="N61" s="452"/>
      <c r="O61" s="949"/>
      <c r="S61" s="979"/>
      <c r="T61" s="979"/>
      <c r="U61" s="979"/>
      <c r="V61" s="979"/>
      <c r="W61" s="979"/>
      <c r="X61" s="979"/>
      <c r="Y61" s="979"/>
      <c r="Z61" s="979"/>
      <c r="AA61" s="979"/>
      <c r="AB61" s="979"/>
      <c r="AC61" s="979"/>
      <c r="AD61" s="979"/>
      <c r="AE61" s="979"/>
      <c r="AF61" s="979"/>
      <c r="AG61" s="979"/>
      <c r="AH61" s="979"/>
      <c r="AI61" s="979"/>
    </row>
    <row r="62" spans="1:63" s="378" customFormat="1" ht="1.5" hidden="1" customHeight="1">
      <c r="A62" s="468"/>
      <c r="B62" s="468"/>
      <c r="C62" s="1186"/>
      <c r="D62" s="984"/>
      <c r="E62" s="984"/>
      <c r="O62" s="949"/>
      <c r="S62" s="979"/>
      <c r="T62" s="979"/>
      <c r="U62" s="979"/>
      <c r="V62" s="979"/>
      <c r="W62" s="979"/>
      <c r="X62" s="979"/>
      <c r="Y62" s="979"/>
      <c r="Z62" s="979"/>
      <c r="AA62" s="979"/>
      <c r="AB62" s="979"/>
      <c r="AC62" s="979"/>
      <c r="AD62" s="979"/>
      <c r="AE62" s="979"/>
      <c r="AF62" s="979"/>
      <c r="AG62" s="979"/>
      <c r="AH62" s="979"/>
      <c r="AI62" s="979"/>
    </row>
    <row r="63" spans="1:63" s="378" customFormat="1" ht="1.5" hidden="1" customHeight="1" thickBot="1">
      <c r="A63" s="468"/>
      <c r="B63" s="468"/>
      <c r="C63" s="1186"/>
      <c r="D63" s="984"/>
      <c r="E63" s="984"/>
      <c r="O63" s="949"/>
      <c r="S63" s="979"/>
      <c r="T63" s="979"/>
      <c r="U63" s="979"/>
      <c r="V63" s="979"/>
      <c r="W63" s="979"/>
      <c r="X63" s="979"/>
      <c r="Y63" s="979"/>
      <c r="Z63" s="979"/>
      <c r="AA63" s="979"/>
      <c r="AB63" s="979"/>
      <c r="AC63" s="979"/>
      <c r="AD63" s="979"/>
      <c r="AE63" s="979"/>
      <c r="AF63" s="979"/>
      <c r="AG63" s="979"/>
      <c r="AH63" s="979"/>
      <c r="AI63" s="979"/>
    </row>
    <row r="64" spans="1:63" s="378" customFormat="1" ht="12.75" hidden="1" customHeight="1" thickBot="1">
      <c r="A64" s="468"/>
      <c r="B64" s="468"/>
      <c r="C64" s="1186"/>
      <c r="D64" s="982" t="s">
        <v>166</v>
      </c>
      <c r="E64" s="983"/>
      <c r="F64" s="469"/>
      <c r="G64" s="466" t="s">
        <v>167</v>
      </c>
      <c r="H64" s="469"/>
      <c r="I64" s="469"/>
      <c r="J64" s="469"/>
      <c r="K64" s="466" t="s">
        <v>168</v>
      </c>
      <c r="L64" s="469"/>
      <c r="M64" s="470"/>
      <c r="O64" s="950"/>
      <c r="S64" s="979"/>
      <c r="T64" s="979"/>
      <c r="U64" s="979"/>
      <c r="V64" s="979"/>
      <c r="W64" s="979"/>
      <c r="X64" s="979"/>
      <c r="Y64" s="979"/>
      <c r="Z64" s="979"/>
      <c r="AA64" s="979"/>
      <c r="AB64" s="979"/>
      <c r="AC64" s="979"/>
      <c r="AD64" s="979"/>
      <c r="AE64" s="979"/>
      <c r="AF64" s="979"/>
      <c r="AG64" s="979"/>
      <c r="AH64" s="979"/>
      <c r="AI64" s="979"/>
    </row>
    <row r="65" spans="1:63" s="378" customFormat="1" ht="12.75" customHeight="1" thickBot="1">
      <c r="A65" s="468"/>
      <c r="B65" s="468"/>
      <c r="C65" s="1186"/>
      <c r="D65" s="982"/>
      <c r="E65" s="983"/>
      <c r="F65" s="469"/>
      <c r="G65" s="466"/>
      <c r="H65" s="469"/>
      <c r="I65" s="469"/>
      <c r="J65" s="469"/>
      <c r="K65" s="466"/>
      <c r="L65" s="469"/>
      <c r="M65" s="470"/>
      <c r="O65" s="950"/>
      <c r="S65" s="979"/>
      <c r="T65" s="979"/>
      <c r="U65" s="979"/>
      <c r="V65" s="979"/>
      <c r="W65" s="979"/>
      <c r="X65" s="979"/>
      <c r="Y65" s="979"/>
      <c r="Z65" s="979"/>
      <c r="AA65" s="979"/>
      <c r="AB65" s="979"/>
      <c r="AC65" s="979"/>
      <c r="AD65" s="979"/>
      <c r="AE65" s="979"/>
      <c r="AF65" s="979"/>
      <c r="AG65" s="979"/>
      <c r="AH65" s="979"/>
      <c r="AI65" s="979"/>
    </row>
    <row r="66" spans="1:63" s="378" customFormat="1" ht="12.75" customHeight="1" thickBot="1">
      <c r="A66" s="468"/>
      <c r="B66" s="468"/>
      <c r="C66" s="1186"/>
      <c r="D66" s="982"/>
      <c r="E66" s="983"/>
      <c r="F66" s="469"/>
      <c r="G66" s="466"/>
      <c r="H66" s="469"/>
      <c r="I66" s="469"/>
      <c r="J66" s="469"/>
      <c r="K66" s="466"/>
      <c r="L66" s="469"/>
      <c r="M66" s="470"/>
      <c r="O66" s="950"/>
      <c r="S66" s="979"/>
      <c r="T66" s="979"/>
      <c r="U66" s="979"/>
      <c r="V66" s="979"/>
      <c r="W66" s="979"/>
      <c r="X66" s="979"/>
      <c r="Y66" s="979"/>
      <c r="Z66" s="979"/>
      <c r="AA66" s="979"/>
      <c r="AB66" s="979"/>
      <c r="AC66" s="979"/>
      <c r="AD66" s="979"/>
      <c r="AE66" s="979"/>
      <c r="AF66" s="979"/>
      <c r="AG66" s="979"/>
      <c r="AH66" s="979"/>
      <c r="AI66" s="979"/>
    </row>
    <row r="67" spans="1:63" s="378" customFormat="1" ht="12.75" customHeight="1" thickBot="1">
      <c r="A67" s="468"/>
      <c r="B67" s="468"/>
      <c r="C67" s="1187" t="s">
        <v>84</v>
      </c>
      <c r="D67" s="982"/>
      <c r="E67" s="983"/>
      <c r="F67" s="469"/>
      <c r="G67" s="466"/>
      <c r="H67" s="469"/>
      <c r="I67" s="469"/>
      <c r="J67" s="469"/>
      <c r="K67" s="466"/>
      <c r="L67" s="469"/>
      <c r="M67" s="470"/>
      <c r="O67" s="950"/>
      <c r="S67" s="979"/>
      <c r="T67" s="979"/>
      <c r="U67" s="979"/>
      <c r="V67" s="979"/>
      <c r="W67" s="979"/>
      <c r="X67" s="979"/>
      <c r="Y67" s="979"/>
      <c r="Z67" s="979"/>
      <c r="AA67" s="979"/>
      <c r="AB67" s="979"/>
      <c r="AC67" s="979"/>
      <c r="AD67" s="979"/>
      <c r="AE67" s="979"/>
      <c r="AF67" s="979"/>
      <c r="AG67" s="979"/>
      <c r="AH67" s="979"/>
      <c r="AI67" s="979"/>
    </row>
    <row r="68" spans="1:63" s="378" customFormat="1" ht="12.75" customHeight="1" thickBot="1">
      <c r="A68" s="468"/>
      <c r="B68" s="468"/>
      <c r="C68" s="1186"/>
      <c r="D68" s="980"/>
      <c r="E68" s="981"/>
      <c r="F68" s="463"/>
      <c r="G68" s="462"/>
      <c r="H68" s="463"/>
      <c r="I68" s="463"/>
      <c r="J68" s="463"/>
      <c r="K68" s="462"/>
      <c r="L68" s="463"/>
      <c r="M68" s="464"/>
      <c r="O68" s="950"/>
      <c r="S68" s="979"/>
      <c r="T68" s="979"/>
      <c r="U68" s="979"/>
      <c r="V68" s="979"/>
      <c r="W68" s="979"/>
      <c r="X68" s="979"/>
      <c r="Y68" s="979"/>
      <c r="Z68" s="979"/>
      <c r="AA68" s="979"/>
      <c r="AB68" s="979"/>
      <c r="AC68" s="979"/>
      <c r="AD68" s="979"/>
      <c r="AE68" s="979"/>
      <c r="AF68" s="979"/>
      <c r="AG68" s="979"/>
      <c r="AH68" s="979"/>
      <c r="AI68" s="979"/>
    </row>
    <row r="69" spans="1:63" s="375" customFormat="1" ht="51.75" thickBot="1">
      <c r="A69" s="390" t="s">
        <v>169</v>
      </c>
      <c r="B69" s="471"/>
      <c r="C69" s="1044" t="s">
        <v>797</v>
      </c>
      <c r="D69" s="1190" t="s">
        <v>163</v>
      </c>
      <c r="E69" s="1190" t="s">
        <v>159</v>
      </c>
      <c r="F69" s="1043" t="s">
        <v>170</v>
      </c>
      <c r="G69" s="1043" t="s">
        <v>163</v>
      </c>
      <c r="H69" s="1043"/>
      <c r="I69" s="1043" t="s">
        <v>159</v>
      </c>
      <c r="J69" s="1043" t="s">
        <v>170</v>
      </c>
      <c r="K69" s="1043" t="s">
        <v>163</v>
      </c>
      <c r="L69" s="1043" t="s">
        <v>159</v>
      </c>
      <c r="M69" s="1043" t="s">
        <v>170</v>
      </c>
      <c r="N69" s="1201"/>
      <c r="O69" s="1201"/>
      <c r="P69" s="1043" t="str">
        <f t="shared" ref="P69:AC69" si="49">+P8</f>
        <v>Escenario Financiero Año 2002</v>
      </c>
      <c r="Q69" s="1043" t="str">
        <f t="shared" si="49"/>
        <v>Escenario Financiero Año 2003</v>
      </c>
      <c r="R69" s="1043" t="str">
        <f t="shared" si="49"/>
        <v>Escenario Financiero Año 2004</v>
      </c>
      <c r="S69" s="1190" t="str">
        <f t="shared" si="49"/>
        <v>Escenario Financiero Año 2005</v>
      </c>
      <c r="T69" s="1190" t="str">
        <f t="shared" si="49"/>
        <v>Escenario Financiero Año 2006</v>
      </c>
      <c r="U69" s="1190" t="str">
        <f t="shared" si="49"/>
        <v>Escenario Financiero Año 2007</v>
      </c>
      <c r="V69" s="1190" t="str">
        <f t="shared" si="49"/>
        <v>Escenario Financiero Año 2008</v>
      </c>
      <c r="W69" s="1190" t="str">
        <f t="shared" si="49"/>
        <v>Escenario Financiero Año 2009</v>
      </c>
      <c r="X69" s="1190" t="str">
        <f t="shared" si="49"/>
        <v>Escenario Financiero Año 2010</v>
      </c>
      <c r="Y69" s="1190" t="str">
        <f t="shared" si="49"/>
        <v>Escenario Financiero Año 2011</v>
      </c>
      <c r="Z69" s="1190" t="str">
        <f t="shared" si="49"/>
        <v>Escenario Financiero Año 2012</v>
      </c>
      <c r="AA69" s="1190" t="str">
        <f t="shared" si="49"/>
        <v>Escenario Financiero Año 2013</v>
      </c>
      <c r="AB69" s="1190" t="str">
        <f t="shared" si="49"/>
        <v>Escenario Financiero Año 2014</v>
      </c>
      <c r="AC69" s="1190" t="str">
        <f t="shared" si="49"/>
        <v>Escenario Financiero Año 2015</v>
      </c>
      <c r="AD69" s="1190" t="str">
        <f t="shared" ref="AD69:AI69" si="50">+AD8</f>
        <v>Escenario Financiero Año 2016</v>
      </c>
      <c r="AE69" s="1190" t="str">
        <f t="shared" si="50"/>
        <v>Escenario Financiero Año 2017</v>
      </c>
      <c r="AF69" s="1190" t="str">
        <f t="shared" si="50"/>
        <v>Escenario Financiero Año 2018</v>
      </c>
      <c r="AG69" s="1190" t="str">
        <f t="shared" si="50"/>
        <v>Escenario Financiero Año 2019</v>
      </c>
      <c r="AH69" s="1190" t="str">
        <f t="shared" si="50"/>
        <v>Escenario Financiero Año 2020</v>
      </c>
      <c r="AI69" s="1190" t="str">
        <f t="shared" si="50"/>
        <v>Escenario Financiero Año 2021</v>
      </c>
      <c r="AJ69" s="1190" t="str">
        <f>+AJ8</f>
        <v>Escenario Financiero Año 2022</v>
      </c>
    </row>
    <row r="70" spans="1:63" s="42" customFormat="1" ht="33" customHeight="1" thickBot="1">
      <c r="A70" s="78" t="str">
        <f>+Gastos!A26</f>
        <v>21</v>
      </c>
      <c r="B70" s="1212"/>
      <c r="C70" s="1180" t="s">
        <v>1174</v>
      </c>
      <c r="D70" s="1194" t="e">
        <f>+D71+D72+D73+D76+D77</f>
        <v>#N/A</v>
      </c>
      <c r="E70" s="1194">
        <f>+E71+E72+E73+E76+E77</f>
        <v>0</v>
      </c>
      <c r="F70" s="1162">
        <f>+F71+F72+F73+F76+F77</f>
        <v>0</v>
      </c>
      <c r="G70" s="1162">
        <f>+G71+G72+G73+G76+G77</f>
        <v>0</v>
      </c>
      <c r="H70" s="1162"/>
      <c r="I70" s="1162">
        <f>+I71+I72+I73+I76+I77</f>
        <v>0</v>
      </c>
      <c r="J70" s="1162">
        <f>+J71+J72+J73+J76+J77</f>
        <v>0</v>
      </c>
      <c r="K70" s="1162" t="e">
        <f>+K71+K72+K73+K76+K77</f>
        <v>#N/A</v>
      </c>
      <c r="L70" s="1162">
        <f>+L71+L72+L73+L76+L77</f>
        <v>0</v>
      </c>
      <c r="M70" s="1162">
        <f>+M71+M72+M73+M76+M77</f>
        <v>0</v>
      </c>
      <c r="N70" s="1162"/>
      <c r="O70" s="1168"/>
      <c r="P70" s="1162">
        <f t="shared" ref="P70:AC70" si="51">+P71+P72+P73+P76+P77</f>
        <v>0</v>
      </c>
      <c r="Q70" s="1162">
        <f t="shared" si="51"/>
        <v>0</v>
      </c>
      <c r="R70" s="1162">
        <f t="shared" si="51"/>
        <v>0</v>
      </c>
      <c r="S70" s="1194">
        <f t="shared" si="51"/>
        <v>621152</v>
      </c>
      <c r="T70" s="1194">
        <f t="shared" si="51"/>
        <v>673079.08000000007</v>
      </c>
      <c r="U70" s="1194">
        <f t="shared" si="51"/>
        <v>512963</v>
      </c>
      <c r="V70" s="1194">
        <f t="shared" si="51"/>
        <v>592522</v>
      </c>
      <c r="W70" s="1194">
        <f t="shared" si="51"/>
        <v>453619.8</v>
      </c>
      <c r="X70" s="1194">
        <f t="shared" si="51"/>
        <v>470725.55200000003</v>
      </c>
      <c r="Y70" s="1194">
        <f t="shared" si="51"/>
        <v>471096</v>
      </c>
      <c r="Z70" s="1194">
        <f t="shared" si="51"/>
        <v>508539.04</v>
      </c>
      <c r="AA70" s="1194">
        <f t="shared" si="51"/>
        <v>528880.60159999994</v>
      </c>
      <c r="AB70" s="1194">
        <f t="shared" si="51"/>
        <v>550035.825664</v>
      </c>
      <c r="AC70" s="1194">
        <f t="shared" si="51"/>
        <v>572037.25869056</v>
      </c>
      <c r="AD70" s="1194">
        <f t="shared" ref="AD70:AI70" si="52">+AD71+AD72+AD73+AD76+AD77</f>
        <v>594918.74903818243</v>
      </c>
      <c r="AE70" s="1194">
        <f t="shared" si="52"/>
        <v>618715.49899970985</v>
      </c>
      <c r="AF70" s="1194">
        <f t="shared" si="52"/>
        <v>643464.11895969813</v>
      </c>
      <c r="AG70" s="1194">
        <f t="shared" si="52"/>
        <v>669202.68371808622</v>
      </c>
      <c r="AH70" s="1194">
        <f t="shared" si="52"/>
        <v>695970.79106680956</v>
      </c>
      <c r="AI70" s="1194">
        <f t="shared" si="52"/>
        <v>723809.62270948198</v>
      </c>
      <c r="AJ70" s="1194">
        <f>+AJ71+AJ72+AJ73+AJ76+AJ77</f>
        <v>752761.00761786138</v>
      </c>
      <c r="AK70" s="467"/>
      <c r="AL70" s="467"/>
      <c r="AM70" s="467"/>
      <c r="AN70" s="467"/>
      <c r="AO70" s="467"/>
      <c r="AP70" s="467"/>
      <c r="AQ70" s="467"/>
      <c r="AR70" s="467"/>
      <c r="AS70" s="467"/>
      <c r="AT70" s="467"/>
      <c r="AU70" s="467"/>
      <c r="AV70" s="467"/>
      <c r="AW70" s="467"/>
      <c r="AX70" s="467"/>
      <c r="AY70" s="467"/>
      <c r="AZ70" s="467"/>
      <c r="BA70" s="467"/>
      <c r="BB70" s="467"/>
      <c r="BC70" s="467"/>
      <c r="BD70" s="467"/>
      <c r="BE70" s="467"/>
      <c r="BF70" s="467"/>
      <c r="BG70" s="467"/>
      <c r="BH70" s="467"/>
      <c r="BI70" s="467"/>
      <c r="BJ70" s="467"/>
      <c r="BK70" s="467"/>
    </row>
    <row r="71" spans="1:63" s="5" customFormat="1">
      <c r="A71" s="79" t="str">
        <f>+Gastos!A27</f>
        <v>211</v>
      </c>
      <c r="B71" s="1213"/>
      <c r="C71" s="1182" t="s">
        <v>171</v>
      </c>
      <c r="D71" s="1194" t="e">
        <f>+K71-G71</f>
        <v>#N/A</v>
      </c>
      <c r="E71" s="1194">
        <f t="shared" ref="E71:F73" si="53">+L71-I71</f>
        <v>0</v>
      </c>
      <c r="F71" s="1162">
        <f t="shared" si="53"/>
        <v>0</v>
      </c>
      <c r="G71" s="1195"/>
      <c r="H71" s="1162"/>
      <c r="I71" s="1162"/>
      <c r="J71" s="1162"/>
      <c r="K71" s="1162" t="e">
        <f>+Gastos!D27</f>
        <v>#N/A</v>
      </c>
      <c r="L71" s="1162">
        <f>+Gastos!G27</f>
        <v>0</v>
      </c>
      <c r="M71" s="1162">
        <f>+Gastos!J27</f>
        <v>0</v>
      </c>
      <c r="N71" s="1201"/>
      <c r="O71" s="1201"/>
      <c r="P71" s="1162">
        <f>+'Gastos Proyecciones'!C16</f>
        <v>0</v>
      </c>
      <c r="Q71" s="1162">
        <f>+'Gastos Proyecciones'!D16</f>
        <v>0</v>
      </c>
      <c r="R71" s="1162">
        <f>+'Gastos Proyecciones'!E16</f>
        <v>0</v>
      </c>
      <c r="S71" s="1194">
        <f>+'Gastos Proyecciones'!F16</f>
        <v>292139</v>
      </c>
      <c r="T71" s="1194">
        <f>+'Gastos Proyecciones'!G16</f>
        <v>303824.56</v>
      </c>
      <c r="U71" s="1194">
        <f>+'Gastos Proyecciones'!H16</f>
        <v>248511</v>
      </c>
      <c r="V71" s="1194">
        <f>+'Gastos Proyecciones'!I16</f>
        <v>382218</v>
      </c>
      <c r="W71" s="1194">
        <f>+'Gastos Proyecciones'!J16</f>
        <v>242151</v>
      </c>
      <c r="X71" s="1194">
        <f>+'Gastos Proyecciones'!K16</f>
        <v>250798</v>
      </c>
      <c r="Y71" s="1194">
        <f>+'Gastos Proyecciones'!L16</f>
        <v>302601</v>
      </c>
      <c r="Z71" s="1194">
        <f>+'Gastos Proyecciones'!M16</f>
        <v>333304.24</v>
      </c>
      <c r="AA71" s="1194">
        <f>+'Gastos Proyecciones'!N16</f>
        <v>346636.40959999996</v>
      </c>
      <c r="AB71" s="1194">
        <f>+'Gastos Proyecciones'!O16</f>
        <v>360501.86598400003</v>
      </c>
      <c r="AC71" s="1194">
        <f>+'Gastos Proyecciones'!P16</f>
        <v>374921.94062336005</v>
      </c>
      <c r="AD71" s="1194">
        <f>+'Gastos Proyecciones'!Q16</f>
        <v>389918.81824829447</v>
      </c>
      <c r="AE71" s="1194">
        <f>+'Gastos Proyecciones'!R16</f>
        <v>405515.57097822626</v>
      </c>
      <c r="AF71" s="1194">
        <f>+'Gastos Proyecciones'!S16</f>
        <v>421736.19381735526</v>
      </c>
      <c r="AG71" s="1194">
        <f>+'Gastos Proyecciones'!T16</f>
        <v>438605.64157004951</v>
      </c>
      <c r="AH71" s="1194">
        <f>+'Gastos Proyecciones'!U16</f>
        <v>456149.86723285151</v>
      </c>
      <c r="AI71" s="1194">
        <f>+'Gastos Proyecciones'!V16</f>
        <v>474395.86192216561</v>
      </c>
      <c r="AJ71" s="1194">
        <f>+'Gastos Proyecciones'!W16</f>
        <v>493370.69639905228</v>
      </c>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row>
    <row r="72" spans="1:63" s="5" customFormat="1">
      <c r="A72" s="80" t="str">
        <f>+Gastos!A42</f>
        <v>212</v>
      </c>
      <c r="B72" s="1214"/>
      <c r="C72" s="1182" t="s">
        <v>172</v>
      </c>
      <c r="D72" s="1194" t="e">
        <f>+K72-G72</f>
        <v>#N/A</v>
      </c>
      <c r="E72" s="1194">
        <f t="shared" si="53"/>
        <v>0</v>
      </c>
      <c r="F72" s="1162">
        <f t="shared" si="53"/>
        <v>0</v>
      </c>
      <c r="G72" s="1195"/>
      <c r="H72" s="1162"/>
      <c r="I72" s="1162"/>
      <c r="J72" s="1162"/>
      <c r="K72" s="1162" t="e">
        <f>+Gastos!D42</f>
        <v>#N/A</v>
      </c>
      <c r="L72" s="1162">
        <f>+Gastos!G42</f>
        <v>0</v>
      </c>
      <c r="M72" s="1162">
        <f>+Gastos!J42</f>
        <v>0</v>
      </c>
      <c r="N72" s="1201"/>
      <c r="O72" s="1201"/>
      <c r="P72" s="1162">
        <f>+'Gastos Proyecciones'!C26</f>
        <v>0</v>
      </c>
      <c r="Q72" s="1162">
        <f>+'Gastos Proyecciones'!D26</f>
        <v>0</v>
      </c>
      <c r="R72" s="1162">
        <f>+'Gastos Proyecciones'!E26</f>
        <v>0</v>
      </c>
      <c r="S72" s="1194">
        <f>+'Gastos Proyecciones'!F26</f>
        <v>207300</v>
      </c>
      <c r="T72" s="1194">
        <f>+'Gastos Proyecciones'!G26</f>
        <v>209393</v>
      </c>
      <c r="U72" s="1194">
        <f>+'Gastos Proyecciones'!H26</f>
        <v>112000</v>
      </c>
      <c r="V72" s="1194">
        <f>+'Gastos Proyecciones'!I26</f>
        <v>93192</v>
      </c>
      <c r="W72" s="1194">
        <f>+'Gastos Proyecciones'!J26</f>
        <v>93192</v>
      </c>
      <c r="X72" s="1194">
        <f>+'Gastos Proyecciones'!K26</f>
        <v>96919.679999999993</v>
      </c>
      <c r="Y72" s="1194">
        <f>+'Gastos Proyecciones'!L26</f>
        <v>91500</v>
      </c>
      <c r="Z72" s="1194">
        <f>+'Gastos Proyecciones'!M26</f>
        <v>95160</v>
      </c>
      <c r="AA72" s="1194">
        <f>+'Gastos Proyecciones'!N26</f>
        <v>98966.399999999994</v>
      </c>
      <c r="AB72" s="1194">
        <f>+'Gastos Proyecciones'!O26</f>
        <v>102925.056</v>
      </c>
      <c r="AC72" s="1194">
        <f>+'Gastos Proyecciones'!P26</f>
        <v>107042.05824</v>
      </c>
      <c r="AD72" s="1194">
        <f>+'Gastos Proyecciones'!Q26</f>
        <v>111323.74056959999</v>
      </c>
      <c r="AE72" s="1194">
        <f>+'Gastos Proyecciones'!R26</f>
        <v>115776.69019238401</v>
      </c>
      <c r="AF72" s="1194">
        <f>+'Gastos Proyecciones'!S26</f>
        <v>120407.75780007937</v>
      </c>
      <c r="AG72" s="1194">
        <f>+'Gastos Proyecciones'!T26</f>
        <v>125224.06811208255</v>
      </c>
      <c r="AH72" s="1194">
        <f>+'Gastos Proyecciones'!U26</f>
        <v>130233.03083656586</v>
      </c>
      <c r="AI72" s="1194">
        <f>+'Gastos Proyecciones'!V26</f>
        <v>135442.35207002849</v>
      </c>
      <c r="AJ72" s="1194">
        <f>+'Gastos Proyecciones'!W26</f>
        <v>140860.04615282963</v>
      </c>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row>
    <row r="73" spans="1:63" s="5" customFormat="1">
      <c r="A73" s="80" t="str">
        <f>+Gastos!A46</f>
        <v>213</v>
      </c>
      <c r="B73" s="1214"/>
      <c r="C73" s="1182" t="s">
        <v>173</v>
      </c>
      <c r="D73" s="1194">
        <f>+K73-G73</f>
        <v>159861.52000000002</v>
      </c>
      <c r="E73" s="1194">
        <f t="shared" si="53"/>
        <v>0</v>
      </c>
      <c r="F73" s="1162">
        <f t="shared" si="53"/>
        <v>0</v>
      </c>
      <c r="G73" s="1162">
        <f>SUM(G74:G75)</f>
        <v>0</v>
      </c>
      <c r="H73" s="1162"/>
      <c r="I73" s="1162">
        <f>SUM(I74:I75)</f>
        <v>0</v>
      </c>
      <c r="J73" s="1162">
        <f>SUM(J74:J75)</f>
        <v>0</v>
      </c>
      <c r="K73" s="1162">
        <f>+Gastos!D46</f>
        <v>159861.52000000002</v>
      </c>
      <c r="L73" s="1162">
        <f>+Gastos!G46</f>
        <v>0</v>
      </c>
      <c r="M73" s="1162">
        <f>+Gastos!J46</f>
        <v>0</v>
      </c>
      <c r="N73" s="1201"/>
      <c r="O73" s="1201"/>
      <c r="P73" s="1162">
        <f>+'Gastos Proyecciones'!C29-'Gastos Proyecciones'!C49-'Gastos Proyecciones'!C51-'Gastos Proyecciones'!C36</f>
        <v>0</v>
      </c>
      <c r="Q73" s="1162">
        <f>+'Gastos Proyecciones'!D29-'Gastos Proyecciones'!D49-'Gastos Proyecciones'!D51-'Gastos Proyecciones'!D36</f>
        <v>0</v>
      </c>
      <c r="R73" s="1162">
        <f>+'Gastos Proyecciones'!E29-'Gastos Proyecciones'!E49-'Gastos Proyecciones'!E51-'Gastos Proyecciones'!E36</f>
        <v>0</v>
      </c>
      <c r="S73" s="1194">
        <f>+'Gastos Proyecciones'!F29-'Gastos Proyecciones'!F49-'Gastos Proyecciones'!F51-'Gastos Proyecciones'!F36</f>
        <v>121713</v>
      </c>
      <c r="T73" s="1194">
        <f>+'Gastos Proyecciones'!G29</f>
        <v>159861.52000000002</v>
      </c>
      <c r="U73" s="1194">
        <f>+'Gastos Proyecciones'!H29</f>
        <v>152452</v>
      </c>
      <c r="V73" s="1194">
        <f>+'Gastos Proyecciones'!I29</f>
        <v>117112</v>
      </c>
      <c r="W73" s="1194">
        <f>+'Gastos Proyecciones'!J29</f>
        <v>118276.8</v>
      </c>
      <c r="X73" s="1194">
        <f>+'Gastos Proyecciones'!K29</f>
        <v>123007.872</v>
      </c>
      <c r="Y73" s="1194">
        <f>+'Gastos Proyecciones'!L29</f>
        <v>76995</v>
      </c>
      <c r="Z73" s="1194">
        <f>+'Gastos Proyecciones'!M29</f>
        <v>80074.8</v>
      </c>
      <c r="AA73" s="1194">
        <f>+'Gastos Proyecciones'!N29</f>
        <v>83277.792000000016</v>
      </c>
      <c r="AB73" s="1194">
        <f>+'Gastos Proyecciones'!O29</f>
        <v>86608.903680000018</v>
      </c>
      <c r="AC73" s="1194">
        <f>+'Gastos Proyecciones'!P29</f>
        <v>90073.259827200003</v>
      </c>
      <c r="AD73" s="1194">
        <f>+'Gastos Proyecciones'!Q29</f>
        <v>93676.190220288001</v>
      </c>
      <c r="AE73" s="1194">
        <f>+'Gastos Proyecciones'!R29</f>
        <v>97423.23782909954</v>
      </c>
      <c r="AF73" s="1194">
        <f>+'Gastos Proyecciones'!S29</f>
        <v>101320.16734226352</v>
      </c>
      <c r="AG73" s="1194">
        <f>+'Gastos Proyecciones'!T29</f>
        <v>105372.97403595406</v>
      </c>
      <c r="AH73" s="1194">
        <f>+'Gastos Proyecciones'!U29</f>
        <v>109587.89299739223</v>
      </c>
      <c r="AI73" s="1194">
        <f>+'Gastos Proyecciones'!V29</f>
        <v>113971.40871728792</v>
      </c>
      <c r="AJ73" s="1194">
        <f>+'Gastos Proyecciones'!W29</f>
        <v>118530.26506597945</v>
      </c>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row>
    <row r="74" spans="1:63" s="5" customFormat="1" hidden="1">
      <c r="A74" s="80" t="str">
        <f>+Gastos!A66</f>
        <v>21305</v>
      </c>
      <c r="B74" s="1214"/>
      <c r="C74" s="1182" t="s">
        <v>174</v>
      </c>
      <c r="D74" s="1199"/>
      <c r="E74" s="1199"/>
      <c r="F74" s="1165"/>
      <c r="G74" s="1165">
        <f>+Gastos!D67</f>
        <v>0</v>
      </c>
      <c r="H74" s="1165"/>
      <c r="I74" s="1165">
        <f>+Gastos!G66</f>
        <v>0</v>
      </c>
      <c r="J74" s="1165">
        <f>+Gastos!J66</f>
        <v>0</v>
      </c>
      <c r="K74" s="1163"/>
      <c r="L74" s="1165"/>
      <c r="M74" s="1165"/>
      <c r="N74" s="1201"/>
      <c r="O74" s="1201"/>
      <c r="P74" s="1165"/>
      <c r="Q74" s="1165"/>
      <c r="R74" s="1165"/>
      <c r="S74" s="1199"/>
      <c r="T74" s="1199"/>
      <c r="U74" s="1199"/>
      <c r="V74" s="1199"/>
      <c r="W74" s="1199"/>
      <c r="X74" s="1199"/>
      <c r="Y74" s="1199"/>
      <c r="Z74" s="1199"/>
      <c r="AA74" s="1199"/>
      <c r="AB74" s="1199"/>
      <c r="AC74" s="1199"/>
      <c r="AD74" s="1199"/>
      <c r="AE74" s="1199"/>
      <c r="AF74" s="1199"/>
      <c r="AG74" s="1199"/>
      <c r="AH74" s="1199"/>
      <c r="AI74" s="1199"/>
      <c r="AJ74" s="1199"/>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row>
    <row r="75" spans="1:63" s="5" customFormat="1" ht="22.5" hidden="1">
      <c r="A75" s="80" t="str">
        <f>+Gastos!A70</f>
        <v>21398</v>
      </c>
      <c r="B75" s="1214"/>
      <c r="C75" s="1182" t="s">
        <v>1154</v>
      </c>
      <c r="D75" s="1199"/>
      <c r="E75" s="1199"/>
      <c r="F75" s="1165" t="s">
        <v>27</v>
      </c>
      <c r="G75" s="1165">
        <f>+Gastos!D69</f>
        <v>0</v>
      </c>
      <c r="H75" s="1165"/>
      <c r="I75" s="1165">
        <f>+Gastos!G70+Gastos!G53</f>
        <v>0</v>
      </c>
      <c r="J75" s="1165">
        <f>+Gastos!J70+Gastos!J53</f>
        <v>0</v>
      </c>
      <c r="K75" s="1163"/>
      <c r="L75" s="1165"/>
      <c r="M75" s="1165"/>
      <c r="N75" s="1201"/>
      <c r="O75" s="1201"/>
      <c r="P75" s="1165"/>
      <c r="Q75" s="1165"/>
      <c r="R75" s="1165"/>
      <c r="S75" s="1199"/>
      <c r="T75" s="1199"/>
      <c r="U75" s="1199"/>
      <c r="V75" s="1199"/>
      <c r="W75" s="1199"/>
      <c r="X75" s="1199"/>
      <c r="Y75" s="1199"/>
      <c r="Z75" s="1199"/>
      <c r="AA75" s="1199"/>
      <c r="AB75" s="1199"/>
      <c r="AC75" s="1199"/>
      <c r="AD75" s="1199"/>
      <c r="AE75" s="1199"/>
      <c r="AF75" s="1199"/>
      <c r="AG75" s="1199"/>
      <c r="AH75" s="1199"/>
      <c r="AI75" s="1199"/>
      <c r="AJ75" s="1199"/>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row>
    <row r="76" spans="1:63" s="5" customFormat="1" hidden="1">
      <c r="A76" s="80" t="str">
        <f>+Gastos!A71</f>
        <v>217</v>
      </c>
      <c r="B76" s="1214"/>
      <c r="C76" s="1182" t="s">
        <v>175</v>
      </c>
      <c r="D76" s="1194">
        <f>+K76-G76</f>
        <v>0</v>
      </c>
      <c r="E76" s="1194">
        <f>+L76-I76</f>
        <v>0</v>
      </c>
      <c r="F76" s="1162">
        <f>+M76-J76</f>
        <v>0</v>
      </c>
      <c r="G76" s="1162">
        <f>IF(Ingresos!$D$22="SI",Gastos!D71,Gastos!D73)</f>
        <v>0</v>
      </c>
      <c r="H76" s="1162"/>
      <c r="I76" s="1162">
        <f>IF(Ingresos!$D$22="SI",Gastos!G71,Gastos!G73)</f>
        <v>0</v>
      </c>
      <c r="J76" s="1162">
        <f>IF(Ingresos!$D$22="SI",Gastos!J71,Gastos!J73)</f>
        <v>0</v>
      </c>
      <c r="K76" s="1162">
        <f>+Gastos!D71</f>
        <v>0</v>
      </c>
      <c r="L76" s="1162">
        <f>+Gastos!G71</f>
        <v>0</v>
      </c>
      <c r="M76" s="1162">
        <f>+Gastos!J71</f>
        <v>0</v>
      </c>
      <c r="N76" s="1201"/>
      <c r="O76" s="1201"/>
      <c r="P76" s="1162">
        <f>IF(Ingresos!$D$22="SI",0,'Gastos Proyecciones'!C53)</f>
        <v>0</v>
      </c>
      <c r="Q76" s="1162">
        <f>IF(Ingresos!$D$22="SI",0,'Gastos Proyecciones'!D53)</f>
        <v>0</v>
      </c>
      <c r="R76" s="1162">
        <f>IF(Ingresos!$D$22="SI",0,'Gastos Proyecciones'!E53)</f>
        <v>0</v>
      </c>
      <c r="S76" s="1194">
        <f>IF(Ingresos!$D$22="SI",0,'Gastos Proyecciones'!F53)</f>
        <v>0</v>
      </c>
      <c r="T76" s="1194">
        <f>IF(Ingresos!$D$22="SI",0,'Gastos Proyecciones'!G53)</f>
        <v>0</v>
      </c>
      <c r="U76" s="1194">
        <f>IF(Ingresos!$D$22="SI",0,'Gastos Proyecciones'!H53)</f>
        <v>0</v>
      </c>
      <c r="V76" s="1194">
        <f>IF(Ingresos!$D$22="SI",0,'Gastos Proyecciones'!I53)</f>
        <v>0</v>
      </c>
      <c r="W76" s="1194">
        <f>IF(Ingresos!$D$22="SI",0,'Gastos Proyecciones'!J53)</f>
        <v>0</v>
      </c>
      <c r="X76" s="1194">
        <f>IF(Ingresos!$D$22="SI",0,'Gastos Proyecciones'!K53)</f>
        <v>0</v>
      </c>
      <c r="Y76" s="1194">
        <f>IF(Ingresos!$D$22="SI",0,'Gastos Proyecciones'!L53)</f>
        <v>0</v>
      </c>
      <c r="Z76" s="1194">
        <f>IF(Ingresos!$D$22="SI",0,'Gastos Proyecciones'!M53)</f>
        <v>0</v>
      </c>
      <c r="AA76" s="1194">
        <f>IF(Ingresos!$D$22="SI",0,'Gastos Proyecciones'!N53)</f>
        <v>0</v>
      </c>
      <c r="AB76" s="1194">
        <f>IF(Ingresos!$D$22="SI",0,'Gastos Proyecciones'!O53)</f>
        <v>0</v>
      </c>
      <c r="AC76" s="1194">
        <f>IF(Ingresos!$D$22="SI",0,'Gastos Proyecciones'!P53)</f>
        <v>0</v>
      </c>
      <c r="AD76" s="1194">
        <f>IF(Ingresos!$D$22="SI",0,'Gastos Proyecciones'!Q53)</f>
        <v>0</v>
      </c>
      <c r="AE76" s="1194">
        <f>IF(Ingresos!$D$22="SI",0,'Gastos Proyecciones'!R53)</f>
        <v>0</v>
      </c>
      <c r="AF76" s="1194">
        <f>IF(Ingresos!$D$22="SI",0,'Gastos Proyecciones'!S53)</f>
        <v>0</v>
      </c>
      <c r="AG76" s="1194">
        <f>IF(Ingresos!$D$22="SI",0,'Gastos Proyecciones'!T53)</f>
        <v>0</v>
      </c>
      <c r="AH76" s="1194">
        <f>IF(Ingresos!$D$22="SI",0,'Gastos Proyecciones'!U53)</f>
        <v>0</v>
      </c>
      <c r="AI76" s="1194">
        <f>IF(Ingresos!$D$22="SI",0,'Gastos Proyecciones'!V53)</f>
        <v>0</v>
      </c>
      <c r="AJ76" s="1194">
        <f>IF(Ingresos!$D$22="SI",0,'Gastos Proyecciones'!W53)</f>
        <v>0</v>
      </c>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row>
    <row r="77" spans="1:63" s="5" customFormat="1" ht="34.5" hidden="1" thickBot="1">
      <c r="A77" s="372" t="s">
        <v>176</v>
      </c>
      <c r="B77" s="1215"/>
      <c r="C77" s="1182" t="s">
        <v>177</v>
      </c>
      <c r="D77" s="1194">
        <f>+K77-G77</f>
        <v>0</v>
      </c>
      <c r="E77" s="1194">
        <f>+L77-I77</f>
        <v>0</v>
      </c>
      <c r="F77" s="1162">
        <f>+M77-J77</f>
        <v>0</v>
      </c>
      <c r="G77" s="1195"/>
      <c r="H77" s="1162"/>
      <c r="I77" s="1195"/>
      <c r="J77" s="1195"/>
      <c r="K77" s="1162">
        <f>+Gastos!D91-Gastos!D95-Gastos!D97-Gastos!D100-Gastos!D103+Gastos!D128-Gastos!D132-Gastos!D134+Gastos!D165</f>
        <v>0</v>
      </c>
      <c r="L77" s="1162">
        <f>+Gastos!G91-Gastos!G95-Gastos!G97-Gastos!G100-Gastos!G103+Gastos!G128-Gastos!G132-Gastos!G134+Gastos!G165</f>
        <v>0</v>
      </c>
      <c r="M77" s="1162">
        <f>+Gastos!J91-Gastos!J95-Gastos!J97-Gastos!J100-Gastos!J103+Gastos!J128-Gastos!J132-Gastos!J134+Gastos!J165</f>
        <v>0</v>
      </c>
      <c r="N77" s="1201"/>
      <c r="O77" s="1201"/>
      <c r="P77" s="1162">
        <f>+'Gastos Proyecciones'!C72-'Gastos Proyecciones'!C76-'Gastos Proyecciones'!C78-'Gastos Proyecciones'!C81-'Gastos Proyecciones'!C84+'Gastos Proyecciones'!C109-'Gastos Proyecciones'!C113-'Gastos Proyecciones'!C115+'Gastos Proyecciones'!C146</f>
        <v>0</v>
      </c>
      <c r="Q77" s="1162">
        <f>+'Gastos Proyecciones'!D72-'Gastos Proyecciones'!D76-'Gastos Proyecciones'!D78-'Gastos Proyecciones'!D81-'Gastos Proyecciones'!D84+'Gastos Proyecciones'!D109-'Gastos Proyecciones'!D113-'Gastos Proyecciones'!D115+'Gastos Proyecciones'!D146</f>
        <v>0</v>
      </c>
      <c r="R77" s="1162">
        <f>+'Gastos Proyecciones'!E72-'Gastos Proyecciones'!E76-'Gastos Proyecciones'!E78-'Gastos Proyecciones'!E81-'Gastos Proyecciones'!E84+'Gastos Proyecciones'!E109-'Gastos Proyecciones'!E113-'Gastos Proyecciones'!E115+'Gastos Proyecciones'!E146</f>
        <v>0</v>
      </c>
      <c r="S77" s="1194">
        <f>+'Gastos Proyecciones'!F72-'Gastos Proyecciones'!F76-'Gastos Proyecciones'!F78-'Gastos Proyecciones'!F81-'Gastos Proyecciones'!F84+'Gastos Proyecciones'!F109-'Gastos Proyecciones'!F113-'Gastos Proyecciones'!F115+'Gastos Proyecciones'!F146</f>
        <v>0</v>
      </c>
      <c r="T77" s="1194">
        <f>+'Gastos Proyecciones'!G72-'Gastos Proyecciones'!G76-'Gastos Proyecciones'!G78-'Gastos Proyecciones'!G81-'Gastos Proyecciones'!G84+'Gastos Proyecciones'!G109-'Gastos Proyecciones'!G113-'Gastos Proyecciones'!G115+'Gastos Proyecciones'!G146</f>
        <v>0</v>
      </c>
      <c r="U77" s="1194">
        <f>+'Gastos Proyecciones'!H72-'Gastos Proyecciones'!H76-'Gastos Proyecciones'!H78-'Gastos Proyecciones'!H81-'Gastos Proyecciones'!H84+'Gastos Proyecciones'!H109-'Gastos Proyecciones'!H113-'Gastos Proyecciones'!H115+'Gastos Proyecciones'!H146</f>
        <v>0</v>
      </c>
      <c r="V77" s="1194"/>
      <c r="W77" s="1194"/>
      <c r="X77" s="1194"/>
      <c r="Y77" s="1194"/>
      <c r="Z77" s="1194"/>
      <c r="AA77" s="1194"/>
      <c r="AB77" s="1194"/>
      <c r="AC77" s="1194"/>
      <c r="AD77" s="1194"/>
      <c r="AE77" s="1194"/>
      <c r="AF77" s="1194"/>
      <c r="AG77" s="1194"/>
      <c r="AH77" s="1194"/>
      <c r="AI77" s="1194"/>
      <c r="AJ77" s="1194"/>
      <c r="AK77" s="378"/>
      <c r="AL77" s="378"/>
      <c r="AM77" s="378"/>
      <c r="AN77" s="378"/>
      <c r="AO77" s="378"/>
      <c r="AP77" s="378"/>
      <c r="AQ77" s="378"/>
      <c r="AR77" s="378"/>
      <c r="AS77" s="378"/>
      <c r="AT77" s="378"/>
      <c r="AU77" s="378"/>
      <c r="AV77" s="378"/>
      <c r="AW77" s="378"/>
      <c r="AX77" s="378"/>
      <c r="AY77" s="378"/>
      <c r="AZ77" s="378"/>
      <c r="BA77" s="378"/>
      <c r="BB77" s="378"/>
      <c r="BC77" s="378"/>
      <c r="BD77" s="378"/>
      <c r="BE77" s="378"/>
      <c r="BF77" s="378"/>
      <c r="BG77" s="378"/>
      <c r="BH77" s="378"/>
      <c r="BI77" s="378"/>
      <c r="BJ77" s="378"/>
      <c r="BK77" s="378"/>
    </row>
    <row r="78" spans="1:63" s="378" customFormat="1" ht="9" hidden="1" customHeight="1">
      <c r="A78" s="375"/>
      <c r="B78" s="375"/>
      <c r="C78" s="1216"/>
      <c r="D78" s="1199"/>
      <c r="E78" s="1199"/>
      <c r="F78" s="1201"/>
      <c r="G78" s="1201"/>
      <c r="H78" s="1201"/>
      <c r="I78" s="1201"/>
      <c r="J78" s="1201"/>
      <c r="K78" s="1201"/>
      <c r="L78" s="1201"/>
      <c r="M78" s="1201"/>
      <c r="N78" s="1201"/>
      <c r="O78" s="1201"/>
      <c r="P78" s="1201"/>
      <c r="Q78" s="1201"/>
      <c r="R78" s="1201"/>
      <c r="S78" s="1199"/>
      <c r="T78" s="1199"/>
      <c r="U78" s="1199"/>
      <c r="V78" s="1199"/>
      <c r="W78" s="1199"/>
      <c r="X78" s="1199"/>
      <c r="Y78" s="1199"/>
      <c r="Z78" s="1199"/>
      <c r="AA78" s="1199"/>
      <c r="AB78" s="1199"/>
      <c r="AC78" s="1199"/>
      <c r="AD78" s="1199"/>
      <c r="AE78" s="1199"/>
      <c r="AF78" s="1199"/>
      <c r="AG78" s="1199"/>
      <c r="AH78" s="1199"/>
      <c r="AI78" s="1199"/>
      <c r="AJ78" s="1199"/>
    </row>
    <row r="79" spans="1:63" s="375" customFormat="1" ht="3" customHeight="1" thickBot="1">
      <c r="A79" s="472"/>
      <c r="B79" s="472"/>
      <c r="C79" s="1216"/>
      <c r="D79" s="1199"/>
      <c r="E79" s="1199"/>
      <c r="F79" s="1201"/>
      <c r="G79" s="1201"/>
      <c r="H79" s="1201"/>
      <c r="I79" s="1201"/>
      <c r="J79" s="1201"/>
      <c r="K79" s="1201"/>
      <c r="L79" s="1201"/>
      <c r="M79" s="1201"/>
      <c r="N79" s="1201"/>
      <c r="O79" s="1201"/>
      <c r="P79" s="1201"/>
      <c r="Q79" s="1201"/>
      <c r="R79" s="1201"/>
      <c r="S79" s="1199"/>
      <c r="T79" s="1199"/>
      <c r="U79" s="1199"/>
      <c r="V79" s="1199"/>
      <c r="W79" s="1199"/>
      <c r="X79" s="1199"/>
      <c r="Y79" s="1199"/>
      <c r="Z79" s="1199"/>
      <c r="AA79" s="1199"/>
      <c r="AB79" s="1199"/>
      <c r="AC79" s="1199"/>
      <c r="AD79" s="1199"/>
      <c r="AE79" s="1199"/>
      <c r="AF79" s="1199"/>
      <c r="AG79" s="1199"/>
      <c r="AH79" s="1199"/>
      <c r="AI79" s="1199"/>
      <c r="AJ79" s="1199"/>
    </row>
    <row r="80" spans="1:63" s="375" customFormat="1" ht="27" customHeight="1" thickBot="1">
      <c r="A80" s="473" t="s">
        <v>178</v>
      </c>
      <c r="B80" s="474"/>
      <c r="C80" s="1181" t="s">
        <v>1173</v>
      </c>
      <c r="D80" s="1194" t="e">
        <f>+D70/D59</f>
        <v>#N/A</v>
      </c>
      <c r="E80" s="1194" t="e">
        <f>+E70/E59</f>
        <v>#REF!</v>
      </c>
      <c r="F80" s="1217" t="e">
        <f>+F70/F59</f>
        <v>#REF!</v>
      </c>
      <c r="G80" s="1218"/>
      <c r="H80" s="1218"/>
      <c r="I80" s="1218"/>
      <c r="J80" s="1218"/>
      <c r="K80" s="1218"/>
      <c r="L80" s="1201"/>
      <c r="M80" s="1201"/>
      <c r="N80" s="1201"/>
      <c r="O80" s="1201"/>
      <c r="P80" s="1219" t="e">
        <f t="shared" ref="P80:AJ80" si="54">+P70/P59</f>
        <v>#REF!</v>
      </c>
      <c r="Q80" s="1219" t="e">
        <f t="shared" si="54"/>
        <v>#REF!</v>
      </c>
      <c r="R80" s="1219" t="e">
        <f t="shared" si="54"/>
        <v>#REF!</v>
      </c>
      <c r="S80" s="1220" t="e">
        <f t="shared" si="54"/>
        <v>#REF!</v>
      </c>
      <c r="T80" s="1220" t="e">
        <f t="shared" si="54"/>
        <v>#REF!</v>
      </c>
      <c r="U80" s="1220" t="e">
        <f t="shared" si="54"/>
        <v>#REF!</v>
      </c>
      <c r="V80" s="1220">
        <f t="shared" si="54"/>
        <v>0.65989312912487497</v>
      </c>
      <c r="W80" s="1220">
        <f t="shared" si="54"/>
        <v>0.59544176148557815</v>
      </c>
      <c r="X80" s="1220">
        <f t="shared" si="54"/>
        <v>0.5941303281598358</v>
      </c>
      <c r="Y80" s="1220">
        <f t="shared" si="54"/>
        <v>0.57172874260398121</v>
      </c>
      <c r="Z80" s="1220">
        <f t="shared" si="54"/>
        <v>0.58523760787475088</v>
      </c>
      <c r="AA80" s="1220">
        <f t="shared" si="54"/>
        <v>0.58523760787475088</v>
      </c>
      <c r="AB80" s="1220">
        <f t="shared" si="54"/>
        <v>0.58523760787475099</v>
      </c>
      <c r="AC80" s="1220">
        <f t="shared" si="54"/>
        <v>0.58523760787475088</v>
      </c>
      <c r="AD80" s="1220">
        <f t="shared" si="54"/>
        <v>0.58523760787475088</v>
      </c>
      <c r="AE80" s="1220">
        <f t="shared" si="54"/>
        <v>0.58523760787475099</v>
      </c>
      <c r="AF80" s="1220">
        <f t="shared" si="54"/>
        <v>0.58523760787475088</v>
      </c>
      <c r="AG80" s="1220">
        <f t="shared" si="54"/>
        <v>0.58523760787475099</v>
      </c>
      <c r="AH80" s="1220">
        <f t="shared" si="54"/>
        <v>0.58523760787475099</v>
      </c>
      <c r="AI80" s="1220">
        <f t="shared" si="54"/>
        <v>0.58523760787475088</v>
      </c>
      <c r="AJ80" s="1220">
        <f t="shared" si="54"/>
        <v>0.58523683042105124</v>
      </c>
    </row>
    <row r="81" spans="1:29" ht="13.5" customHeight="1">
      <c r="A81" s="451" t="s">
        <v>179</v>
      </c>
      <c r="B81" s="451"/>
      <c r="C81" s="1189"/>
      <c r="D81" s="977"/>
      <c r="E81" s="977"/>
      <c r="F81" s="375"/>
      <c r="G81" s="375"/>
      <c r="H81" s="375"/>
      <c r="I81" s="375"/>
      <c r="J81" s="375"/>
      <c r="K81" s="375"/>
      <c r="L81" s="375"/>
      <c r="M81" s="375"/>
      <c r="N81" s="375"/>
      <c r="P81" s="375"/>
      <c r="Q81" s="375"/>
      <c r="R81" s="375"/>
      <c r="S81" s="978"/>
      <c r="T81" s="978"/>
      <c r="U81" s="978"/>
      <c r="V81" s="978"/>
      <c r="W81" s="978"/>
      <c r="X81" s="978"/>
      <c r="Y81" s="978"/>
      <c r="Z81" s="978"/>
      <c r="AA81" s="978"/>
      <c r="AB81" s="978"/>
      <c r="AC81" s="978"/>
    </row>
    <row r="82" spans="1:29">
      <c r="A82" s="375"/>
      <c r="B82" s="375"/>
      <c r="C82" s="1311"/>
      <c r="D82" s="984"/>
      <c r="E82" s="984"/>
      <c r="F82" s="378"/>
      <c r="G82" s="378"/>
      <c r="H82" s="378"/>
      <c r="I82" s="378"/>
      <c r="J82" s="378"/>
      <c r="K82" s="378"/>
      <c r="L82" s="378"/>
      <c r="M82" s="448"/>
      <c r="N82" s="452"/>
      <c r="O82" s="378"/>
      <c r="P82" s="378"/>
      <c r="Q82" s="378"/>
      <c r="R82" s="378"/>
      <c r="S82" s="979"/>
      <c r="T82" s="979"/>
      <c r="U82" s="979"/>
      <c r="V82" s="979"/>
      <c r="W82" s="979"/>
      <c r="X82" s="979"/>
      <c r="Y82" s="979"/>
      <c r="Z82" s="979"/>
      <c r="AA82" s="978"/>
      <c r="AB82" s="978"/>
      <c r="AC82" s="978"/>
    </row>
    <row r="83" spans="1:29">
      <c r="A83" s="375"/>
      <c r="B83" s="375"/>
      <c r="C83" s="1311"/>
      <c r="D83" s="984"/>
      <c r="E83" s="984"/>
      <c r="F83" s="378"/>
      <c r="G83" s="378"/>
      <c r="H83" s="378"/>
      <c r="I83" s="378"/>
      <c r="J83" s="378"/>
      <c r="K83" s="378"/>
      <c r="L83" s="378"/>
      <c r="M83" s="448"/>
      <c r="N83" s="452"/>
      <c r="O83" s="378"/>
      <c r="P83" s="378"/>
      <c r="Q83" s="378"/>
      <c r="R83" s="378"/>
      <c r="S83" s="979"/>
      <c r="T83" s="979"/>
      <c r="U83" s="979"/>
      <c r="V83" s="979"/>
      <c r="W83" s="979"/>
      <c r="X83" s="979"/>
      <c r="Y83" s="979"/>
      <c r="Z83" s="979"/>
      <c r="AA83" s="978"/>
      <c r="AB83" s="978"/>
      <c r="AC83" s="978"/>
    </row>
    <row r="84" spans="1:29">
      <c r="A84" s="375"/>
      <c r="B84" s="375"/>
      <c r="C84" s="1311"/>
      <c r="D84" s="984"/>
      <c r="E84" s="984"/>
      <c r="F84" s="378"/>
      <c r="G84" s="378"/>
      <c r="H84" s="378"/>
      <c r="I84" s="378"/>
      <c r="J84" s="378"/>
      <c r="K84" s="378"/>
      <c r="L84" s="378"/>
      <c r="M84" s="448"/>
      <c r="N84" s="452"/>
      <c r="O84" s="378"/>
      <c r="P84" s="378"/>
      <c r="Q84" s="378"/>
      <c r="R84" s="378"/>
      <c r="S84" s="979"/>
      <c r="T84" s="979"/>
      <c r="U84" s="979"/>
      <c r="V84" s="979"/>
      <c r="W84" s="979"/>
      <c r="X84" s="979"/>
      <c r="Y84" s="979"/>
      <c r="Z84" s="979"/>
      <c r="AA84" s="978"/>
      <c r="AB84" s="978"/>
      <c r="AC84" s="978"/>
    </row>
    <row r="85" spans="1:29">
      <c r="A85" s="375"/>
      <c r="B85" s="375"/>
      <c r="C85" s="1311"/>
      <c r="D85" s="984"/>
      <c r="E85" s="984"/>
      <c r="F85" s="378"/>
      <c r="G85" s="378"/>
      <c r="H85" s="378"/>
      <c r="I85" s="378"/>
      <c r="J85" s="378"/>
      <c r="K85" s="378"/>
      <c r="L85" s="378"/>
      <c r="M85" s="448"/>
      <c r="N85" s="452"/>
      <c r="O85" s="378"/>
      <c r="P85" s="378"/>
      <c r="Q85" s="378"/>
      <c r="R85" s="378"/>
      <c r="S85" s="979"/>
      <c r="T85" s="979"/>
      <c r="U85" s="979"/>
      <c r="V85" s="979"/>
      <c r="W85" s="979"/>
      <c r="X85" s="979"/>
      <c r="Y85" s="979"/>
      <c r="Z85" s="979"/>
      <c r="AA85" s="978"/>
      <c r="AB85" s="978"/>
      <c r="AC85" s="978"/>
    </row>
    <row r="86" spans="1:29">
      <c r="A86" s="375"/>
      <c r="B86" s="375"/>
      <c r="C86" s="1311"/>
      <c r="D86" s="984"/>
      <c r="E86" s="984"/>
      <c r="F86" s="378"/>
      <c r="G86" s="378"/>
      <c r="H86" s="378"/>
      <c r="I86" s="378"/>
      <c r="J86" s="378"/>
      <c r="K86" s="378"/>
      <c r="L86" s="378"/>
      <c r="M86" s="448"/>
      <c r="N86" s="452"/>
      <c r="O86" s="378"/>
      <c r="P86" s="378"/>
      <c r="Q86" s="378"/>
      <c r="R86" s="378"/>
      <c r="S86" s="979"/>
      <c r="T86" s="979"/>
      <c r="U86" s="979"/>
      <c r="V86" s="979"/>
      <c r="W86" s="979"/>
      <c r="X86" s="979"/>
      <c r="Y86" s="979"/>
      <c r="Z86" s="979"/>
      <c r="AA86" s="978"/>
      <c r="AB86" s="978"/>
      <c r="AC86" s="978"/>
    </row>
    <row r="87" spans="1:29">
      <c r="A87" s="375"/>
      <c r="B87" s="375"/>
      <c r="C87" s="1311"/>
      <c r="D87" s="984"/>
      <c r="E87" s="984"/>
      <c r="F87" s="378"/>
      <c r="G87" s="378"/>
      <c r="H87" s="378"/>
      <c r="I87" s="378"/>
      <c r="J87" s="378"/>
      <c r="K87" s="378"/>
      <c r="L87" s="378"/>
      <c r="M87" s="448"/>
      <c r="N87" s="452"/>
      <c r="O87" s="378"/>
      <c r="P87" s="378"/>
      <c r="Q87" s="378"/>
      <c r="R87" s="378"/>
      <c r="S87" s="979"/>
      <c r="T87" s="979"/>
      <c r="U87" s="979"/>
      <c r="V87" s="979"/>
      <c r="W87" s="979"/>
      <c r="X87" s="979"/>
      <c r="Y87" s="979"/>
      <c r="Z87" s="979"/>
      <c r="AA87" s="978"/>
      <c r="AB87" s="978"/>
      <c r="AC87" s="978"/>
    </row>
    <row r="88" spans="1:29">
      <c r="A88" s="375"/>
      <c r="B88" s="375"/>
      <c r="C88" s="1311"/>
      <c r="D88" s="984"/>
      <c r="E88" s="984"/>
      <c r="F88" s="378"/>
      <c r="G88" s="378"/>
      <c r="H88" s="378"/>
      <c r="I88" s="378"/>
      <c r="J88" s="378"/>
      <c r="K88" s="378"/>
      <c r="L88" s="378"/>
      <c r="M88" s="448"/>
      <c r="N88" s="452"/>
      <c r="O88" s="378"/>
      <c r="P88" s="378"/>
      <c r="Q88" s="378"/>
      <c r="R88" s="378"/>
      <c r="S88" s="979"/>
      <c r="T88" s="979"/>
      <c r="U88" s="979"/>
      <c r="V88" s="979"/>
      <c r="W88" s="979"/>
      <c r="X88" s="979"/>
      <c r="Y88" s="979"/>
      <c r="Z88" s="979"/>
      <c r="AA88" s="978"/>
      <c r="AB88" s="978"/>
      <c r="AC88" s="978"/>
    </row>
    <row r="89" spans="1:29">
      <c r="A89" s="375"/>
      <c r="B89" s="375"/>
      <c r="C89" s="1312" t="s">
        <v>264</v>
      </c>
      <c r="D89" s="984"/>
      <c r="E89" s="984"/>
      <c r="F89" s="378"/>
      <c r="G89" s="378"/>
      <c r="H89" s="378"/>
      <c r="I89" s="378"/>
      <c r="J89" s="378"/>
      <c r="K89" s="378"/>
      <c r="L89" s="378"/>
      <c r="M89" s="448"/>
      <c r="N89" s="452"/>
      <c r="O89" s="378"/>
      <c r="P89" s="378"/>
      <c r="Q89" s="378"/>
      <c r="R89" s="378"/>
      <c r="S89" s="979"/>
      <c r="T89" s="979"/>
      <c r="U89" s="979"/>
      <c r="V89" s="979"/>
      <c r="W89" s="979"/>
      <c r="X89" s="979"/>
      <c r="Y89" s="979"/>
      <c r="Z89" s="979"/>
      <c r="AA89" s="978"/>
      <c r="AB89" s="978"/>
      <c r="AC89" s="978"/>
    </row>
    <row r="90" spans="1:29">
      <c r="A90" s="375"/>
      <c r="B90" s="375"/>
      <c r="C90" s="1312" t="s">
        <v>265</v>
      </c>
      <c r="D90" s="984"/>
      <c r="E90" s="984"/>
      <c r="F90" s="378"/>
      <c r="G90" s="378"/>
      <c r="H90" s="378"/>
      <c r="I90" s="378"/>
      <c r="J90" s="378"/>
      <c r="K90" s="378"/>
      <c r="L90" s="378"/>
      <c r="M90" s="378"/>
      <c r="N90" s="378"/>
      <c r="O90" s="378"/>
      <c r="P90" s="378"/>
      <c r="Q90" s="378"/>
      <c r="R90" s="378"/>
      <c r="S90" s="979"/>
      <c r="T90" s="979"/>
      <c r="U90" s="979"/>
      <c r="V90" s="979"/>
      <c r="W90" s="979"/>
      <c r="X90" s="979"/>
      <c r="Y90" s="979"/>
      <c r="Z90" s="979"/>
      <c r="AA90" s="978"/>
      <c r="AB90" s="978"/>
      <c r="AC90" s="978"/>
    </row>
    <row r="91" spans="1:29">
      <c r="A91" s="375"/>
      <c r="B91" s="375"/>
      <c r="C91" s="1284" t="s">
        <v>266</v>
      </c>
      <c r="D91" s="984"/>
      <c r="E91" s="984"/>
      <c r="F91" s="378"/>
      <c r="G91" s="378"/>
      <c r="H91" s="378"/>
      <c r="I91" s="378"/>
      <c r="J91" s="378"/>
      <c r="K91" s="378"/>
      <c r="L91" s="378"/>
      <c r="M91" s="448"/>
      <c r="N91" s="378"/>
      <c r="O91" s="378"/>
      <c r="P91" s="378"/>
      <c r="Q91" s="378"/>
      <c r="R91" s="378"/>
      <c r="S91" s="979"/>
      <c r="T91" s="979"/>
      <c r="U91" s="979"/>
      <c r="V91" s="979"/>
      <c r="W91" s="979"/>
      <c r="X91" s="979"/>
      <c r="Y91" s="979"/>
      <c r="Z91" s="979"/>
      <c r="AA91" s="978"/>
      <c r="AB91" s="978"/>
      <c r="AC91" s="978"/>
    </row>
    <row r="92" spans="1:29">
      <c r="A92" s="375"/>
      <c r="B92" s="375"/>
      <c r="C92" s="1310"/>
      <c r="D92" s="984"/>
      <c r="E92" s="984"/>
      <c r="F92" s="378"/>
      <c r="G92" s="378"/>
      <c r="H92" s="378"/>
      <c r="I92" s="378"/>
      <c r="J92" s="378"/>
      <c r="K92" s="378"/>
      <c r="L92" s="378"/>
      <c r="M92" s="448"/>
      <c r="N92" s="378"/>
      <c r="O92" s="378"/>
      <c r="P92" s="378"/>
      <c r="Q92" s="378"/>
      <c r="R92" s="378"/>
      <c r="S92" s="979"/>
      <c r="T92" s="979"/>
      <c r="U92" s="979"/>
      <c r="V92" s="979"/>
      <c r="W92" s="979"/>
      <c r="X92" s="979"/>
      <c r="Y92" s="979"/>
      <c r="Z92" s="979"/>
      <c r="AA92" s="978"/>
      <c r="AB92" s="978"/>
      <c r="AC92" s="978"/>
    </row>
    <row r="93" spans="1:29">
      <c r="A93" s="375"/>
      <c r="B93" s="375"/>
      <c r="C93" s="1310"/>
      <c r="D93" s="984"/>
      <c r="E93" s="984"/>
      <c r="F93" s="378"/>
      <c r="G93" s="378"/>
      <c r="H93" s="378"/>
      <c r="I93" s="378"/>
      <c r="J93" s="378"/>
      <c r="K93" s="378"/>
      <c r="L93" s="378"/>
      <c r="M93" s="448"/>
      <c r="N93" s="378"/>
      <c r="O93" s="378"/>
      <c r="P93" s="378"/>
      <c r="Q93" s="378"/>
      <c r="R93" s="378"/>
      <c r="S93" s="979"/>
      <c r="T93" s="979"/>
      <c r="U93" s="979"/>
      <c r="V93" s="979"/>
      <c r="W93" s="979"/>
      <c r="X93" s="979"/>
      <c r="Y93" s="979"/>
      <c r="Z93" s="979"/>
      <c r="AA93" s="978"/>
      <c r="AB93" s="978"/>
      <c r="AC93" s="978"/>
    </row>
    <row r="94" spans="1:29">
      <c r="A94" s="375"/>
      <c r="B94" s="375"/>
      <c r="C94" s="1310"/>
      <c r="D94" s="984"/>
      <c r="E94" s="984"/>
      <c r="F94" s="378"/>
      <c r="G94" s="378"/>
      <c r="H94" s="378"/>
      <c r="I94" s="378"/>
      <c r="J94" s="378"/>
      <c r="K94" s="378"/>
      <c r="L94" s="378"/>
      <c r="M94" s="448"/>
      <c r="N94" s="378"/>
      <c r="O94" s="378"/>
      <c r="P94" s="378"/>
      <c r="Q94" s="378"/>
      <c r="R94" s="378"/>
      <c r="S94" s="979"/>
      <c r="T94" s="979"/>
      <c r="U94" s="979"/>
      <c r="V94" s="979"/>
      <c r="W94" s="979"/>
      <c r="X94" s="979"/>
      <c r="Y94" s="979"/>
      <c r="Z94" s="979"/>
      <c r="AA94" s="978"/>
      <c r="AB94" s="978"/>
      <c r="AC94" s="978"/>
    </row>
    <row r="95" spans="1:29">
      <c r="A95" s="375"/>
      <c r="B95" s="375"/>
      <c r="C95" s="1310"/>
      <c r="D95" s="984"/>
      <c r="E95" s="984"/>
      <c r="F95" s="378"/>
      <c r="G95" s="378"/>
      <c r="H95" s="378"/>
      <c r="I95" s="378"/>
      <c r="J95" s="378"/>
      <c r="K95" s="378"/>
      <c r="L95" s="378"/>
      <c r="M95" s="448"/>
      <c r="N95" s="378"/>
      <c r="O95" s="378"/>
      <c r="P95" s="378"/>
      <c r="Q95" s="378"/>
      <c r="R95" s="378"/>
      <c r="S95" s="979"/>
      <c r="T95" s="979"/>
      <c r="U95" s="979"/>
      <c r="V95" s="979"/>
      <c r="W95" s="979"/>
      <c r="X95" s="979"/>
      <c r="Y95" s="979"/>
      <c r="Z95" s="979"/>
      <c r="AA95" s="978"/>
      <c r="AB95" s="978"/>
      <c r="AC95" s="978"/>
    </row>
    <row r="96" spans="1:29">
      <c r="A96" s="375"/>
      <c r="B96" s="375"/>
      <c r="C96" s="1310"/>
      <c r="D96" s="984"/>
      <c r="E96" s="984"/>
      <c r="F96" s="378"/>
      <c r="G96" s="378"/>
      <c r="H96" s="378"/>
      <c r="I96" s="378"/>
      <c r="J96" s="378"/>
      <c r="K96" s="378"/>
      <c r="L96" s="378"/>
      <c r="M96" s="448"/>
      <c r="N96" s="378"/>
      <c r="O96" s="378"/>
      <c r="P96" s="378"/>
      <c r="Q96" s="378"/>
      <c r="R96" s="378"/>
      <c r="S96" s="979"/>
      <c r="T96" s="979"/>
      <c r="U96" s="979"/>
      <c r="V96" s="979"/>
      <c r="W96" s="979"/>
      <c r="X96" s="979"/>
      <c r="Y96" s="979"/>
      <c r="Z96" s="979"/>
      <c r="AA96" s="978"/>
      <c r="AB96" s="978"/>
      <c r="AC96" s="978"/>
    </row>
    <row r="97" spans="3:29" s="375" customFormat="1">
      <c r="C97" s="1188"/>
      <c r="D97" s="977"/>
      <c r="E97" s="977"/>
      <c r="M97" s="448"/>
      <c r="S97" s="978"/>
      <c r="T97" s="978"/>
      <c r="U97" s="978"/>
      <c r="V97" s="978"/>
      <c r="W97" s="978"/>
      <c r="X97" s="978"/>
      <c r="Y97" s="978"/>
      <c r="Z97" s="978"/>
      <c r="AA97" s="978"/>
      <c r="AB97" s="978"/>
      <c r="AC97" s="978"/>
    </row>
    <row r="98" spans="3:29" s="375" customFormat="1">
      <c r="C98" s="1188"/>
      <c r="D98" s="977"/>
      <c r="E98" s="977"/>
      <c r="M98" s="448"/>
      <c r="S98" s="978"/>
      <c r="T98" s="978"/>
      <c r="U98" s="978"/>
      <c r="V98" s="978"/>
      <c r="W98" s="978"/>
      <c r="X98" s="978"/>
      <c r="Y98" s="978"/>
      <c r="Z98" s="978"/>
      <c r="AA98" s="978"/>
      <c r="AB98" s="978"/>
      <c r="AC98" s="978"/>
    </row>
    <row r="99" spans="3:29" s="375" customFormat="1">
      <c r="C99" s="1188"/>
      <c r="D99" s="977"/>
      <c r="E99" s="977"/>
      <c r="M99" s="448"/>
      <c r="S99" s="978"/>
      <c r="T99" s="978"/>
      <c r="U99" s="978"/>
      <c r="V99" s="978"/>
      <c r="W99" s="978"/>
      <c r="X99" s="978"/>
      <c r="Y99" s="978"/>
      <c r="Z99" s="978"/>
      <c r="AA99" s="978"/>
      <c r="AB99" s="978"/>
      <c r="AC99" s="978"/>
    </row>
    <row r="100" spans="3:29" s="375" customFormat="1">
      <c r="C100" s="1188"/>
      <c r="D100" s="977"/>
      <c r="E100" s="977"/>
      <c r="M100" s="448"/>
      <c r="S100" s="978"/>
      <c r="T100" s="978"/>
      <c r="U100" s="978"/>
      <c r="V100" s="978"/>
      <c r="W100" s="978"/>
      <c r="X100" s="978"/>
      <c r="Y100" s="978"/>
      <c r="Z100" s="978"/>
      <c r="AA100" s="978"/>
      <c r="AB100" s="978"/>
      <c r="AC100" s="978"/>
    </row>
    <row r="101" spans="3:29" s="375" customFormat="1">
      <c r="C101" s="1188"/>
      <c r="D101" s="977"/>
      <c r="E101" s="977"/>
      <c r="M101" s="392"/>
      <c r="S101" s="978"/>
      <c r="T101" s="978"/>
      <c r="U101" s="978"/>
      <c r="V101" s="978"/>
      <c r="W101" s="978"/>
      <c r="X101" s="978"/>
      <c r="Y101" s="978"/>
      <c r="Z101" s="978"/>
      <c r="AA101" s="978"/>
      <c r="AB101" s="978"/>
      <c r="AC101" s="978"/>
    </row>
    <row r="102" spans="3:29" s="375" customFormat="1">
      <c r="C102" s="1188"/>
      <c r="D102" s="977"/>
      <c r="E102" s="977"/>
      <c r="M102" s="392"/>
      <c r="S102" s="978"/>
      <c r="T102" s="978"/>
      <c r="U102" s="978"/>
      <c r="V102" s="978"/>
      <c r="W102" s="978"/>
      <c r="X102" s="978"/>
      <c r="Y102" s="978"/>
      <c r="Z102" s="978"/>
      <c r="AA102" s="978"/>
      <c r="AB102" s="978"/>
      <c r="AC102" s="978"/>
    </row>
    <row r="103" spans="3:29" s="375" customFormat="1">
      <c r="C103" s="1188"/>
      <c r="D103" s="977"/>
      <c r="E103" s="977"/>
      <c r="M103" s="392"/>
      <c r="S103" s="978"/>
      <c r="T103" s="978"/>
      <c r="U103" s="978"/>
      <c r="V103" s="978"/>
      <c r="W103" s="978"/>
      <c r="X103" s="978"/>
      <c r="Y103" s="978"/>
      <c r="Z103" s="978"/>
      <c r="AA103" s="978"/>
      <c r="AB103" s="978"/>
      <c r="AC103" s="978"/>
    </row>
    <row r="104" spans="3:29" s="375" customFormat="1">
      <c r="C104" s="1188"/>
      <c r="D104" s="977"/>
      <c r="E104" s="977"/>
      <c r="M104" s="392"/>
      <c r="S104" s="978"/>
      <c r="T104" s="978"/>
      <c r="U104" s="978"/>
      <c r="V104" s="978"/>
      <c r="W104" s="978"/>
      <c r="X104" s="978"/>
      <c r="Y104" s="978"/>
      <c r="Z104" s="978"/>
      <c r="AA104" s="978"/>
      <c r="AB104" s="978"/>
      <c r="AC104" s="978"/>
    </row>
    <row r="105" spans="3:29" s="375" customFormat="1">
      <c r="C105" s="1188"/>
      <c r="D105" s="977"/>
      <c r="E105" s="977"/>
      <c r="M105" s="448"/>
      <c r="S105" s="978"/>
      <c r="T105" s="978"/>
      <c r="U105" s="978"/>
      <c r="V105" s="978"/>
      <c r="W105" s="978"/>
      <c r="X105" s="978"/>
      <c r="Y105" s="978"/>
      <c r="Z105" s="978"/>
      <c r="AA105" s="978"/>
      <c r="AB105" s="978"/>
      <c r="AC105" s="978"/>
    </row>
    <row r="106" spans="3:29" s="375" customFormat="1">
      <c r="C106" s="1188"/>
      <c r="D106" s="977"/>
      <c r="E106" s="977"/>
      <c r="M106" s="448"/>
      <c r="S106" s="978"/>
      <c r="T106" s="978"/>
      <c r="U106" s="978"/>
      <c r="V106" s="978"/>
      <c r="W106" s="978"/>
      <c r="X106" s="978"/>
      <c r="Y106" s="978"/>
      <c r="Z106" s="978"/>
      <c r="AA106" s="978"/>
      <c r="AB106" s="978"/>
      <c r="AC106" s="978"/>
    </row>
    <row r="107" spans="3:29" s="375" customFormat="1">
      <c r="C107" s="1188"/>
      <c r="D107" s="977"/>
      <c r="E107" s="977"/>
      <c r="M107" s="392"/>
      <c r="S107" s="978"/>
      <c r="T107" s="978"/>
      <c r="U107" s="978"/>
      <c r="V107" s="978"/>
      <c r="W107" s="978"/>
      <c r="X107" s="978"/>
      <c r="Y107" s="978"/>
      <c r="Z107" s="978"/>
      <c r="AA107" s="978"/>
      <c r="AB107" s="978"/>
      <c r="AC107" s="978"/>
    </row>
    <row r="108" spans="3:29" s="375" customFormat="1">
      <c r="C108" s="1188"/>
      <c r="D108" s="977"/>
      <c r="E108" s="977"/>
      <c r="M108" s="448"/>
      <c r="S108" s="978"/>
      <c r="T108" s="978"/>
      <c r="U108" s="978"/>
      <c r="V108" s="978"/>
      <c r="W108" s="978"/>
      <c r="X108" s="978"/>
      <c r="Y108" s="978"/>
      <c r="Z108" s="978"/>
      <c r="AA108" s="978"/>
      <c r="AB108" s="978"/>
      <c r="AC108" s="978"/>
    </row>
    <row r="109" spans="3:29" s="375" customFormat="1">
      <c r="C109" s="1188"/>
      <c r="D109" s="977"/>
      <c r="E109" s="977"/>
      <c r="M109" s="448"/>
      <c r="S109" s="978"/>
      <c r="T109" s="978"/>
      <c r="U109" s="978"/>
      <c r="V109" s="978"/>
      <c r="W109" s="978"/>
      <c r="X109" s="978"/>
      <c r="Y109" s="978"/>
      <c r="Z109" s="978"/>
      <c r="AA109" s="978"/>
      <c r="AB109" s="978"/>
      <c r="AC109" s="978"/>
    </row>
    <row r="110" spans="3:29" s="375" customFormat="1">
      <c r="C110" s="1188"/>
      <c r="D110" s="977"/>
      <c r="E110" s="977"/>
      <c r="M110" s="448"/>
      <c r="S110" s="978"/>
      <c r="T110" s="978"/>
      <c r="U110" s="978"/>
      <c r="V110" s="978"/>
      <c r="W110" s="978"/>
      <c r="X110" s="978"/>
      <c r="Y110" s="978"/>
      <c r="Z110" s="978"/>
      <c r="AA110" s="978"/>
      <c r="AB110" s="978"/>
      <c r="AC110" s="978"/>
    </row>
    <row r="111" spans="3:29" s="375" customFormat="1">
      <c r="C111" s="1188"/>
      <c r="D111" s="977"/>
      <c r="E111" s="977"/>
      <c r="M111" s="448"/>
      <c r="S111" s="978"/>
      <c r="T111" s="978"/>
      <c r="U111" s="978"/>
      <c r="V111" s="978"/>
      <c r="W111" s="978"/>
      <c r="X111" s="978"/>
      <c r="Y111" s="978"/>
      <c r="Z111" s="978"/>
      <c r="AA111" s="978"/>
      <c r="AB111" s="978"/>
      <c r="AC111" s="978"/>
    </row>
    <row r="112" spans="3:29" s="375" customFormat="1">
      <c r="C112" s="1188"/>
      <c r="D112" s="977"/>
      <c r="E112" s="977"/>
      <c r="M112" s="392"/>
      <c r="S112" s="978"/>
      <c r="T112" s="978"/>
      <c r="U112" s="978"/>
      <c r="V112" s="978"/>
      <c r="W112" s="978"/>
      <c r="X112" s="978"/>
      <c r="Y112" s="978"/>
      <c r="Z112" s="978"/>
      <c r="AA112" s="978"/>
      <c r="AB112" s="978"/>
      <c r="AC112" s="978"/>
    </row>
    <row r="113" spans="3:29" s="375" customFormat="1">
      <c r="C113" s="1188"/>
      <c r="D113" s="977"/>
      <c r="E113" s="977"/>
      <c r="M113" s="392"/>
      <c r="S113" s="978"/>
      <c r="T113" s="978"/>
      <c r="U113" s="978"/>
      <c r="V113" s="978"/>
      <c r="W113" s="978"/>
      <c r="X113" s="978"/>
      <c r="Y113" s="978"/>
      <c r="Z113" s="978"/>
      <c r="AA113" s="978"/>
      <c r="AB113" s="978"/>
      <c r="AC113" s="978"/>
    </row>
    <row r="114" spans="3:29" s="375" customFormat="1">
      <c r="C114" s="1188"/>
      <c r="D114" s="977"/>
      <c r="E114" s="977"/>
      <c r="M114" s="392"/>
      <c r="S114" s="978"/>
      <c r="T114" s="978"/>
      <c r="U114" s="978"/>
      <c r="V114" s="978"/>
      <c r="W114" s="978"/>
      <c r="X114" s="978"/>
      <c r="Y114" s="978"/>
      <c r="Z114" s="978"/>
      <c r="AA114" s="978"/>
      <c r="AB114" s="978"/>
      <c r="AC114" s="978"/>
    </row>
    <row r="115" spans="3:29" s="375" customFormat="1">
      <c r="C115" s="1188"/>
      <c r="D115" s="977"/>
      <c r="E115" s="977"/>
      <c r="M115" s="392"/>
      <c r="S115" s="978"/>
      <c r="T115" s="978"/>
      <c r="U115" s="978"/>
      <c r="V115" s="978"/>
      <c r="W115" s="978"/>
      <c r="X115" s="978"/>
      <c r="Y115" s="978"/>
      <c r="Z115" s="978"/>
      <c r="AA115" s="978"/>
      <c r="AB115" s="978"/>
      <c r="AC115" s="978"/>
    </row>
    <row r="116" spans="3:29" s="375" customFormat="1">
      <c r="C116" s="1188"/>
      <c r="D116" s="977"/>
      <c r="E116" s="977"/>
      <c r="M116" s="448"/>
      <c r="S116" s="978"/>
      <c r="T116" s="978"/>
      <c r="U116" s="978"/>
      <c r="V116" s="978"/>
      <c r="W116" s="978"/>
      <c r="X116" s="978"/>
      <c r="Y116" s="978"/>
      <c r="Z116" s="978"/>
      <c r="AA116" s="978"/>
      <c r="AB116" s="978"/>
      <c r="AC116" s="978"/>
    </row>
    <row r="117" spans="3:29" s="375" customFormat="1">
      <c r="C117" s="1188"/>
      <c r="D117" s="977"/>
      <c r="E117" s="977"/>
      <c r="M117" s="448"/>
      <c r="S117" s="978"/>
      <c r="T117" s="978"/>
      <c r="U117" s="978"/>
      <c r="V117" s="978"/>
      <c r="W117" s="978"/>
      <c r="X117" s="978"/>
      <c r="Y117" s="978"/>
      <c r="Z117" s="978"/>
      <c r="AA117" s="978"/>
      <c r="AB117" s="978"/>
      <c r="AC117" s="978"/>
    </row>
    <row r="118" spans="3:29" s="375" customFormat="1">
      <c r="C118" s="1188"/>
      <c r="D118" s="977"/>
      <c r="E118" s="977"/>
      <c r="M118" s="392"/>
      <c r="S118" s="978"/>
      <c r="T118" s="978"/>
      <c r="U118" s="978"/>
      <c r="V118" s="978"/>
      <c r="W118" s="978"/>
      <c r="X118" s="978"/>
      <c r="Y118" s="978"/>
      <c r="Z118" s="978"/>
      <c r="AA118" s="978"/>
      <c r="AB118" s="978"/>
      <c r="AC118" s="978"/>
    </row>
    <row r="119" spans="3:29" s="375" customFormat="1">
      <c r="C119" s="1188"/>
      <c r="D119" s="977"/>
      <c r="E119" s="977"/>
      <c r="M119" s="448"/>
      <c r="S119" s="978"/>
      <c r="T119" s="978"/>
      <c r="U119" s="978"/>
      <c r="V119" s="978"/>
      <c r="W119" s="978"/>
      <c r="X119" s="978"/>
      <c r="Y119" s="978"/>
      <c r="Z119" s="978"/>
      <c r="AA119" s="978"/>
      <c r="AB119" s="978"/>
      <c r="AC119" s="978"/>
    </row>
    <row r="120" spans="3:29" s="375" customFormat="1">
      <c r="C120" s="1188"/>
      <c r="D120" s="977"/>
      <c r="E120" s="977"/>
      <c r="M120" s="448"/>
      <c r="S120" s="978"/>
      <c r="T120" s="978"/>
      <c r="U120" s="978"/>
      <c r="V120" s="978"/>
      <c r="W120" s="978"/>
      <c r="X120" s="978"/>
      <c r="Y120" s="978"/>
      <c r="Z120" s="978"/>
      <c r="AA120" s="978"/>
      <c r="AB120" s="978"/>
      <c r="AC120" s="978"/>
    </row>
    <row r="121" spans="3:29" s="375" customFormat="1">
      <c r="C121" s="1188"/>
      <c r="D121" s="977"/>
      <c r="E121" s="977"/>
      <c r="M121" s="448"/>
      <c r="S121" s="978"/>
      <c r="T121" s="978"/>
      <c r="U121" s="978"/>
      <c r="V121" s="978"/>
      <c r="W121" s="978"/>
      <c r="X121" s="978"/>
      <c r="Y121" s="978"/>
      <c r="Z121" s="978"/>
      <c r="AA121" s="978"/>
      <c r="AB121" s="978"/>
      <c r="AC121" s="978"/>
    </row>
    <row r="122" spans="3:29" s="375" customFormat="1">
      <c r="C122" s="1188"/>
      <c r="D122" s="977"/>
      <c r="E122" s="977"/>
      <c r="M122" s="448"/>
      <c r="S122" s="978"/>
      <c r="T122" s="978"/>
      <c r="U122" s="978"/>
      <c r="V122" s="978"/>
      <c r="W122" s="978"/>
      <c r="X122" s="978"/>
      <c r="Y122" s="978"/>
      <c r="Z122" s="978"/>
      <c r="AA122" s="978"/>
      <c r="AB122" s="978"/>
      <c r="AC122" s="978"/>
    </row>
    <row r="123" spans="3:29" s="375" customFormat="1">
      <c r="C123" s="1188"/>
      <c r="D123" s="977"/>
      <c r="E123" s="977"/>
      <c r="S123" s="978"/>
      <c r="T123" s="978"/>
      <c r="U123" s="978"/>
      <c r="V123" s="978"/>
      <c r="W123" s="978"/>
      <c r="X123" s="978"/>
      <c r="Y123" s="978"/>
      <c r="Z123" s="978"/>
      <c r="AA123" s="978"/>
      <c r="AB123" s="978"/>
      <c r="AC123" s="978"/>
    </row>
    <row r="124" spans="3:29" s="375" customFormat="1">
      <c r="C124" s="1188"/>
      <c r="D124" s="977"/>
      <c r="E124" s="977"/>
      <c r="S124" s="978"/>
      <c r="T124" s="978"/>
      <c r="U124" s="978"/>
      <c r="V124" s="978"/>
      <c r="W124" s="978"/>
      <c r="X124" s="978"/>
      <c r="Y124" s="978"/>
      <c r="Z124" s="978"/>
      <c r="AA124" s="978"/>
      <c r="AB124" s="978"/>
      <c r="AC124" s="978"/>
    </row>
    <row r="125" spans="3:29" s="375" customFormat="1">
      <c r="C125" s="1188"/>
      <c r="D125" s="977"/>
      <c r="E125" s="977"/>
      <c r="S125" s="978"/>
      <c r="T125" s="978"/>
      <c r="U125" s="978"/>
      <c r="V125" s="978"/>
      <c r="W125" s="978"/>
      <c r="X125" s="978"/>
      <c r="Y125" s="978"/>
      <c r="Z125" s="978"/>
      <c r="AA125" s="978"/>
      <c r="AB125" s="978"/>
      <c r="AC125" s="978"/>
    </row>
    <row r="126" spans="3:29" s="375" customFormat="1">
      <c r="C126" s="1188"/>
      <c r="D126" s="977"/>
      <c r="E126" s="977"/>
      <c r="S126" s="978"/>
      <c r="T126" s="978"/>
      <c r="U126" s="978"/>
      <c r="V126" s="978"/>
      <c r="W126" s="978"/>
      <c r="X126" s="978"/>
      <c r="Y126" s="978"/>
      <c r="Z126" s="978"/>
      <c r="AA126" s="978"/>
      <c r="AB126" s="978"/>
      <c r="AC126" s="978"/>
    </row>
    <row r="127" spans="3:29" s="375" customFormat="1">
      <c r="C127" s="1188"/>
      <c r="D127" s="977"/>
      <c r="E127" s="977"/>
      <c r="S127" s="978"/>
      <c r="T127" s="978"/>
      <c r="U127" s="978"/>
      <c r="V127" s="978"/>
      <c r="W127" s="978"/>
      <c r="X127" s="978"/>
      <c r="Y127" s="978"/>
      <c r="Z127" s="978"/>
      <c r="AA127" s="978"/>
      <c r="AB127" s="978"/>
      <c r="AC127" s="978"/>
    </row>
    <row r="128" spans="3:29" s="375" customFormat="1">
      <c r="C128" s="1188"/>
      <c r="D128" s="977"/>
      <c r="E128" s="977"/>
      <c r="S128" s="978"/>
      <c r="T128" s="978"/>
      <c r="U128" s="978"/>
      <c r="V128" s="978"/>
      <c r="W128" s="978"/>
      <c r="X128" s="978"/>
      <c r="Y128" s="978"/>
      <c r="Z128" s="978"/>
      <c r="AA128" s="978"/>
      <c r="AB128" s="978"/>
      <c r="AC128" s="978"/>
    </row>
    <row r="129" spans="3:29" s="375" customFormat="1">
      <c r="C129" s="1188"/>
      <c r="D129" s="977"/>
      <c r="E129" s="977"/>
      <c r="S129" s="978"/>
      <c r="T129" s="978"/>
      <c r="U129" s="978"/>
      <c r="V129" s="978"/>
      <c r="W129" s="978"/>
      <c r="X129" s="978"/>
      <c r="Y129" s="978"/>
      <c r="Z129" s="978"/>
      <c r="AA129" s="978"/>
      <c r="AB129" s="978"/>
      <c r="AC129" s="978"/>
    </row>
    <row r="130" spans="3:29" s="375" customFormat="1">
      <c r="C130" s="1188"/>
      <c r="D130" s="977"/>
      <c r="E130" s="977"/>
      <c r="S130" s="978"/>
      <c r="T130" s="978"/>
      <c r="U130" s="978"/>
      <c r="V130" s="978"/>
      <c r="W130" s="978"/>
      <c r="X130" s="978"/>
      <c r="Y130" s="978"/>
      <c r="Z130" s="978"/>
      <c r="AA130" s="978"/>
      <c r="AB130" s="978"/>
      <c r="AC130" s="978"/>
    </row>
    <row r="131" spans="3:29" s="375" customFormat="1">
      <c r="C131" s="1188"/>
      <c r="D131" s="977"/>
      <c r="E131" s="977"/>
      <c r="S131" s="978"/>
      <c r="T131" s="978"/>
      <c r="U131" s="978"/>
      <c r="V131" s="978"/>
      <c r="W131" s="978"/>
      <c r="X131" s="978"/>
      <c r="Y131" s="978"/>
      <c r="Z131" s="978"/>
      <c r="AA131" s="978"/>
      <c r="AB131" s="978"/>
      <c r="AC131" s="978"/>
    </row>
    <row r="132" spans="3:29" s="375" customFormat="1">
      <c r="C132" s="1188"/>
      <c r="D132" s="977"/>
      <c r="E132" s="977"/>
      <c r="S132" s="978"/>
      <c r="T132" s="978"/>
      <c r="U132" s="978"/>
      <c r="V132" s="978"/>
      <c r="W132" s="978"/>
      <c r="X132" s="978"/>
      <c r="Y132" s="978"/>
      <c r="Z132" s="978"/>
      <c r="AA132" s="978"/>
      <c r="AB132" s="978"/>
      <c r="AC132" s="978"/>
    </row>
    <row r="133" spans="3:29" s="375" customFormat="1">
      <c r="C133" s="1188"/>
      <c r="D133" s="977"/>
      <c r="E133" s="977"/>
      <c r="S133" s="978"/>
      <c r="T133" s="978"/>
      <c r="U133" s="978"/>
      <c r="V133" s="978"/>
      <c r="W133" s="978"/>
      <c r="X133" s="978"/>
      <c r="Y133" s="978"/>
      <c r="Z133" s="978"/>
      <c r="AA133" s="978"/>
      <c r="AB133" s="978"/>
      <c r="AC133" s="978"/>
    </row>
    <row r="134" spans="3:29" s="375" customFormat="1">
      <c r="C134" s="1188"/>
      <c r="D134" s="977"/>
      <c r="E134" s="977"/>
      <c r="S134" s="978"/>
      <c r="T134" s="978"/>
      <c r="U134" s="978"/>
      <c r="V134" s="978"/>
      <c r="W134" s="978"/>
      <c r="X134" s="978"/>
      <c r="Y134" s="978"/>
      <c r="Z134" s="978"/>
      <c r="AA134" s="978"/>
      <c r="AB134" s="978"/>
      <c r="AC134" s="978"/>
    </row>
    <row r="135" spans="3:29" s="375" customFormat="1">
      <c r="C135" s="1188"/>
      <c r="D135" s="977"/>
      <c r="E135" s="977"/>
      <c r="S135" s="978"/>
      <c r="T135" s="978"/>
      <c r="U135" s="978"/>
      <c r="V135" s="978"/>
      <c r="W135" s="978"/>
      <c r="X135" s="978"/>
      <c r="Y135" s="978"/>
      <c r="Z135" s="978"/>
      <c r="AA135" s="978"/>
      <c r="AB135" s="978"/>
      <c r="AC135" s="978"/>
    </row>
    <row r="136" spans="3:29" s="375" customFormat="1">
      <c r="C136" s="1188"/>
      <c r="D136" s="977"/>
      <c r="E136" s="977"/>
      <c r="S136" s="978"/>
      <c r="T136" s="978"/>
      <c r="U136" s="978"/>
      <c r="V136" s="978"/>
      <c r="W136" s="978"/>
      <c r="X136" s="978"/>
      <c r="Y136" s="978"/>
      <c r="Z136" s="978"/>
      <c r="AA136" s="978"/>
      <c r="AB136" s="978"/>
      <c r="AC136" s="978"/>
    </row>
    <row r="137" spans="3:29" s="375" customFormat="1">
      <c r="C137" s="1188"/>
      <c r="D137" s="977"/>
      <c r="E137" s="977"/>
      <c r="S137" s="978"/>
      <c r="T137" s="978"/>
      <c r="U137" s="978"/>
      <c r="V137" s="978"/>
      <c r="W137" s="978"/>
      <c r="X137" s="978"/>
      <c r="Y137" s="978"/>
      <c r="Z137" s="978"/>
      <c r="AA137" s="978"/>
      <c r="AB137" s="978"/>
      <c r="AC137" s="978"/>
    </row>
    <row r="138" spans="3:29" s="375" customFormat="1">
      <c r="C138" s="1188"/>
      <c r="D138" s="977"/>
      <c r="E138" s="977"/>
      <c r="S138" s="978"/>
      <c r="T138" s="978"/>
      <c r="U138" s="978"/>
      <c r="V138" s="978"/>
      <c r="W138" s="978"/>
      <c r="X138" s="978"/>
      <c r="Y138" s="978"/>
      <c r="Z138" s="978"/>
      <c r="AA138" s="978"/>
      <c r="AB138" s="978"/>
      <c r="AC138" s="978"/>
    </row>
    <row r="139" spans="3:29" s="375" customFormat="1">
      <c r="C139" s="1188"/>
      <c r="D139" s="977"/>
      <c r="E139" s="977"/>
      <c r="S139" s="978"/>
      <c r="T139" s="978"/>
      <c r="U139" s="978"/>
      <c r="V139" s="978"/>
      <c r="W139" s="978"/>
      <c r="X139" s="978"/>
      <c r="Y139" s="978"/>
      <c r="Z139" s="978"/>
      <c r="AA139" s="978"/>
      <c r="AB139" s="978"/>
      <c r="AC139" s="978"/>
    </row>
    <row r="140" spans="3:29" s="375" customFormat="1">
      <c r="C140" s="1188"/>
      <c r="D140" s="977"/>
      <c r="E140" s="977"/>
      <c r="S140" s="978"/>
      <c r="T140" s="978"/>
      <c r="U140" s="978"/>
      <c r="V140" s="978"/>
      <c r="W140" s="978"/>
      <c r="X140" s="978"/>
      <c r="Y140" s="978"/>
      <c r="Z140" s="978"/>
      <c r="AA140" s="978"/>
      <c r="AB140" s="978"/>
      <c r="AC140" s="978"/>
    </row>
    <row r="141" spans="3:29" s="375" customFormat="1">
      <c r="C141" s="1188"/>
      <c r="D141" s="977"/>
      <c r="E141" s="977"/>
      <c r="S141" s="978"/>
      <c r="T141" s="978"/>
      <c r="U141" s="978"/>
      <c r="V141" s="978"/>
      <c r="W141" s="978"/>
      <c r="X141" s="978"/>
      <c r="Y141" s="978"/>
      <c r="Z141" s="978"/>
      <c r="AA141" s="978"/>
      <c r="AB141" s="978"/>
      <c r="AC141" s="978"/>
    </row>
    <row r="142" spans="3:29" s="375" customFormat="1">
      <c r="C142" s="1188"/>
      <c r="D142" s="977"/>
      <c r="E142" s="977"/>
      <c r="S142" s="978"/>
      <c r="T142" s="978"/>
      <c r="U142" s="978"/>
      <c r="V142" s="978"/>
      <c r="W142" s="978"/>
      <c r="X142" s="978"/>
      <c r="Y142" s="978"/>
      <c r="Z142" s="978"/>
      <c r="AA142" s="978"/>
      <c r="AB142" s="978"/>
      <c r="AC142" s="978"/>
    </row>
    <row r="143" spans="3:29" s="375" customFormat="1">
      <c r="C143" s="1188"/>
      <c r="D143" s="977"/>
      <c r="E143" s="977"/>
      <c r="S143" s="978"/>
      <c r="T143" s="978"/>
      <c r="U143" s="978"/>
      <c r="V143" s="978"/>
      <c r="W143" s="978"/>
      <c r="X143" s="978"/>
      <c r="Y143" s="978"/>
      <c r="Z143" s="978"/>
      <c r="AA143" s="978"/>
      <c r="AB143" s="978"/>
      <c r="AC143" s="978"/>
    </row>
    <row r="144" spans="3:29" s="375" customFormat="1">
      <c r="C144" s="1188"/>
      <c r="D144" s="977"/>
      <c r="E144" s="977"/>
      <c r="S144" s="978"/>
      <c r="T144" s="978"/>
      <c r="U144" s="978"/>
      <c r="V144" s="978"/>
      <c r="W144" s="978"/>
      <c r="X144" s="978"/>
      <c r="Y144" s="978"/>
      <c r="Z144" s="978"/>
      <c r="AA144" s="978"/>
      <c r="AB144" s="978"/>
      <c r="AC144" s="978"/>
    </row>
    <row r="145" spans="3:29" s="375" customFormat="1">
      <c r="C145" s="1188"/>
      <c r="D145" s="977"/>
      <c r="E145" s="977"/>
      <c r="S145" s="978"/>
      <c r="T145" s="978"/>
      <c r="U145" s="978"/>
      <c r="V145" s="978"/>
      <c r="W145" s="978"/>
      <c r="X145" s="978"/>
      <c r="Y145" s="978"/>
      <c r="Z145" s="978"/>
      <c r="AA145" s="978"/>
      <c r="AB145" s="978"/>
      <c r="AC145" s="978"/>
    </row>
    <row r="146" spans="3:29" s="375" customFormat="1">
      <c r="C146" s="1188"/>
      <c r="D146" s="977"/>
      <c r="E146" s="977"/>
      <c r="S146" s="978"/>
      <c r="T146" s="978"/>
      <c r="U146" s="978"/>
      <c r="V146" s="978"/>
      <c r="W146" s="978"/>
      <c r="X146" s="978"/>
      <c r="Y146" s="978"/>
      <c r="Z146" s="978"/>
      <c r="AA146" s="978"/>
      <c r="AB146" s="978"/>
      <c r="AC146" s="978"/>
    </row>
    <row r="147" spans="3:29" s="375" customFormat="1">
      <c r="C147" s="1188"/>
      <c r="D147" s="977"/>
      <c r="E147" s="977"/>
      <c r="S147" s="978"/>
      <c r="T147" s="978"/>
      <c r="U147" s="978"/>
      <c r="V147" s="978"/>
      <c r="W147" s="978"/>
      <c r="X147" s="978"/>
      <c r="Y147" s="978"/>
      <c r="Z147" s="978"/>
      <c r="AA147" s="978"/>
      <c r="AB147" s="978"/>
      <c r="AC147" s="978"/>
    </row>
    <row r="148" spans="3:29" s="375" customFormat="1">
      <c r="C148" s="1188"/>
      <c r="D148" s="977"/>
      <c r="E148" s="977"/>
      <c r="S148" s="978"/>
      <c r="T148" s="978"/>
      <c r="U148" s="978"/>
      <c r="V148" s="978"/>
      <c r="W148" s="978"/>
      <c r="X148" s="978"/>
      <c r="Y148" s="978"/>
      <c r="Z148" s="978"/>
      <c r="AA148" s="978"/>
      <c r="AB148" s="978"/>
      <c r="AC148" s="978"/>
    </row>
    <row r="149" spans="3:29" s="375" customFormat="1">
      <c r="C149" s="1188"/>
      <c r="D149" s="977"/>
      <c r="E149" s="977"/>
      <c r="S149" s="978"/>
      <c r="T149" s="978"/>
      <c r="U149" s="978"/>
      <c r="V149" s="978"/>
      <c r="W149" s="978"/>
      <c r="X149" s="978"/>
      <c r="Y149" s="978"/>
      <c r="Z149" s="978"/>
      <c r="AA149" s="978"/>
      <c r="AB149" s="978"/>
      <c r="AC149" s="978"/>
    </row>
    <row r="150" spans="3:29" s="375" customFormat="1">
      <c r="C150" s="1188"/>
      <c r="D150" s="977"/>
      <c r="E150" s="977"/>
      <c r="S150" s="978"/>
      <c r="T150" s="978"/>
      <c r="U150" s="978"/>
      <c r="V150" s="978"/>
      <c r="W150" s="978"/>
      <c r="X150" s="978"/>
      <c r="Y150" s="978"/>
      <c r="Z150" s="978"/>
      <c r="AA150" s="978"/>
      <c r="AB150" s="978"/>
      <c r="AC150" s="978"/>
    </row>
    <row r="151" spans="3:29" s="375" customFormat="1">
      <c r="C151" s="1188"/>
      <c r="D151" s="977"/>
      <c r="E151" s="977"/>
      <c r="S151" s="978"/>
      <c r="T151" s="978"/>
      <c r="U151" s="978"/>
      <c r="V151" s="978"/>
      <c r="W151" s="978"/>
      <c r="X151" s="978"/>
      <c r="Y151" s="978"/>
      <c r="Z151" s="978"/>
      <c r="AA151" s="978"/>
      <c r="AB151" s="978"/>
      <c r="AC151" s="978"/>
    </row>
    <row r="152" spans="3:29" s="375" customFormat="1">
      <c r="C152" s="1188"/>
      <c r="D152" s="977"/>
      <c r="E152" s="977"/>
      <c r="S152" s="978"/>
      <c r="T152" s="978"/>
      <c r="U152" s="978"/>
      <c r="V152" s="978"/>
      <c r="W152" s="978"/>
      <c r="X152" s="978"/>
      <c r="Y152" s="978"/>
      <c r="Z152" s="978"/>
      <c r="AA152" s="978"/>
      <c r="AB152" s="978"/>
      <c r="AC152" s="978"/>
    </row>
    <row r="153" spans="3:29" s="375" customFormat="1">
      <c r="C153" s="1188"/>
      <c r="D153" s="977"/>
      <c r="E153" s="977"/>
      <c r="S153" s="978"/>
      <c r="T153" s="978"/>
      <c r="U153" s="978"/>
      <c r="V153" s="978"/>
      <c r="W153" s="978"/>
      <c r="X153" s="978"/>
      <c r="Y153" s="978"/>
      <c r="Z153" s="978"/>
      <c r="AA153" s="978"/>
      <c r="AB153" s="978"/>
      <c r="AC153" s="978"/>
    </row>
    <row r="154" spans="3:29" s="375" customFormat="1">
      <c r="C154" s="1188"/>
      <c r="D154" s="977"/>
      <c r="E154" s="977"/>
      <c r="S154" s="978"/>
      <c r="T154" s="978"/>
      <c r="U154" s="978"/>
      <c r="V154" s="978"/>
      <c r="W154" s="978"/>
      <c r="X154" s="978"/>
      <c r="Y154" s="978"/>
      <c r="Z154" s="978"/>
      <c r="AA154" s="978"/>
      <c r="AB154" s="978"/>
      <c r="AC154" s="978"/>
    </row>
    <row r="155" spans="3:29" s="375" customFormat="1">
      <c r="C155" s="1188"/>
      <c r="D155" s="977"/>
      <c r="E155" s="977"/>
      <c r="S155" s="978"/>
      <c r="T155" s="978"/>
      <c r="U155" s="978"/>
      <c r="V155" s="978"/>
      <c r="W155" s="978"/>
      <c r="X155" s="978"/>
      <c r="Y155" s="978"/>
      <c r="Z155" s="978"/>
      <c r="AA155" s="978"/>
      <c r="AB155" s="978"/>
      <c r="AC155" s="978"/>
    </row>
    <row r="156" spans="3:29" s="375" customFormat="1">
      <c r="C156" s="1188"/>
      <c r="D156" s="977"/>
      <c r="E156" s="977"/>
      <c r="S156" s="978"/>
      <c r="T156" s="978"/>
      <c r="U156" s="978"/>
      <c r="V156" s="978"/>
      <c r="W156" s="978"/>
      <c r="X156" s="978"/>
      <c r="Y156" s="978"/>
      <c r="Z156" s="978"/>
      <c r="AA156" s="978"/>
      <c r="AB156" s="978"/>
      <c r="AC156" s="978"/>
    </row>
    <row r="157" spans="3:29" s="375" customFormat="1">
      <c r="C157" s="1188"/>
      <c r="D157" s="977"/>
      <c r="E157" s="977"/>
      <c r="S157" s="978"/>
      <c r="T157" s="978"/>
      <c r="U157" s="978"/>
      <c r="V157" s="978"/>
      <c r="W157" s="978"/>
      <c r="X157" s="978"/>
      <c r="Y157" s="978"/>
      <c r="Z157" s="978"/>
      <c r="AA157" s="978"/>
      <c r="AB157" s="978"/>
      <c r="AC157" s="978"/>
    </row>
    <row r="158" spans="3:29" s="375" customFormat="1">
      <c r="C158" s="1188"/>
      <c r="D158" s="977"/>
      <c r="E158" s="977"/>
      <c r="S158" s="978"/>
      <c r="T158" s="978"/>
      <c r="U158" s="978"/>
      <c r="V158" s="978"/>
      <c r="W158" s="978"/>
      <c r="X158" s="978"/>
      <c r="Y158" s="978"/>
      <c r="Z158" s="978"/>
      <c r="AA158" s="978"/>
      <c r="AB158" s="978"/>
      <c r="AC158" s="978"/>
    </row>
    <row r="159" spans="3:29" s="375" customFormat="1">
      <c r="C159" s="1188"/>
      <c r="D159" s="977"/>
      <c r="E159" s="977"/>
      <c r="S159" s="978"/>
      <c r="T159" s="978"/>
      <c r="U159" s="978"/>
      <c r="V159" s="978"/>
      <c r="W159" s="978"/>
      <c r="X159" s="978"/>
      <c r="Y159" s="978"/>
      <c r="Z159" s="978"/>
      <c r="AA159" s="978"/>
      <c r="AB159" s="978"/>
      <c r="AC159" s="978"/>
    </row>
    <row r="160" spans="3:29" s="375" customFormat="1">
      <c r="C160" s="1188"/>
      <c r="D160" s="977"/>
      <c r="E160" s="977"/>
      <c r="S160" s="978"/>
      <c r="T160" s="978"/>
      <c r="U160" s="978"/>
      <c r="V160" s="978"/>
      <c r="W160" s="978"/>
      <c r="X160" s="978"/>
      <c r="Y160" s="978"/>
      <c r="Z160" s="978"/>
      <c r="AA160" s="978"/>
      <c r="AB160" s="978"/>
      <c r="AC160" s="978"/>
    </row>
    <row r="161" spans="3:29" s="375" customFormat="1">
      <c r="C161" s="1188"/>
      <c r="D161" s="977"/>
      <c r="E161" s="977"/>
      <c r="S161" s="978"/>
      <c r="T161" s="978"/>
      <c r="U161" s="978"/>
      <c r="V161" s="978"/>
      <c r="W161" s="978"/>
      <c r="X161" s="978"/>
      <c r="Y161" s="978"/>
      <c r="Z161" s="978"/>
      <c r="AA161" s="978"/>
      <c r="AB161" s="978"/>
      <c r="AC161" s="978"/>
    </row>
    <row r="162" spans="3:29" s="375" customFormat="1">
      <c r="C162" s="1188"/>
      <c r="D162" s="977"/>
      <c r="E162" s="977"/>
      <c r="S162" s="978"/>
      <c r="T162" s="978"/>
      <c r="U162" s="978"/>
      <c r="V162" s="978"/>
      <c r="W162" s="978"/>
      <c r="X162" s="978"/>
      <c r="Y162" s="978"/>
      <c r="Z162" s="978"/>
      <c r="AA162" s="978"/>
      <c r="AB162" s="978"/>
      <c r="AC162" s="978"/>
    </row>
    <row r="163" spans="3:29" s="375" customFormat="1">
      <c r="C163" s="1188"/>
      <c r="D163" s="977"/>
      <c r="E163" s="977"/>
      <c r="S163" s="978"/>
      <c r="T163" s="978"/>
      <c r="U163" s="978"/>
      <c r="V163" s="978"/>
      <c r="W163" s="978"/>
      <c r="X163" s="978"/>
      <c r="Y163" s="978"/>
      <c r="Z163" s="978"/>
      <c r="AA163" s="978"/>
      <c r="AB163" s="978"/>
      <c r="AC163" s="978"/>
    </row>
    <row r="164" spans="3:29" s="375" customFormat="1">
      <c r="C164" s="1188"/>
      <c r="D164" s="977"/>
      <c r="E164" s="977"/>
      <c r="S164" s="978"/>
      <c r="T164" s="978"/>
      <c r="U164" s="978"/>
      <c r="V164" s="978"/>
      <c r="W164" s="978"/>
      <c r="X164" s="978"/>
      <c r="Y164" s="978"/>
      <c r="Z164" s="978"/>
      <c r="AA164" s="978"/>
      <c r="AB164" s="978"/>
      <c r="AC164" s="978"/>
    </row>
    <row r="165" spans="3:29" s="375" customFormat="1">
      <c r="C165" s="1188"/>
      <c r="D165" s="977"/>
      <c r="E165" s="977"/>
      <c r="S165" s="978"/>
      <c r="T165" s="978"/>
      <c r="U165" s="978"/>
      <c r="V165" s="978"/>
      <c r="W165" s="978"/>
      <c r="X165" s="978"/>
      <c r="Y165" s="978"/>
      <c r="Z165" s="978"/>
      <c r="AA165" s="978"/>
      <c r="AB165" s="978"/>
      <c r="AC165" s="978"/>
    </row>
    <row r="166" spans="3:29" s="375" customFormat="1">
      <c r="C166" s="1188"/>
      <c r="D166" s="977"/>
      <c r="E166" s="977"/>
      <c r="S166" s="978"/>
      <c r="T166" s="978"/>
      <c r="U166" s="978"/>
      <c r="V166" s="978"/>
      <c r="W166" s="978"/>
      <c r="X166" s="978"/>
      <c r="Y166" s="978"/>
      <c r="Z166" s="978"/>
      <c r="AA166" s="978"/>
      <c r="AB166" s="978"/>
      <c r="AC166" s="978"/>
    </row>
    <row r="167" spans="3:29" s="375" customFormat="1">
      <c r="C167" s="1188"/>
      <c r="D167" s="977"/>
      <c r="E167" s="977"/>
      <c r="S167" s="978"/>
      <c r="T167" s="978"/>
      <c r="U167" s="978"/>
      <c r="V167" s="978"/>
      <c r="W167" s="978"/>
      <c r="X167" s="978"/>
      <c r="Y167" s="978"/>
      <c r="Z167" s="978"/>
      <c r="AA167" s="978"/>
      <c r="AB167" s="978"/>
      <c r="AC167" s="978"/>
    </row>
    <row r="168" spans="3:29" s="375" customFormat="1">
      <c r="C168" s="1188"/>
      <c r="D168" s="977"/>
      <c r="E168" s="977"/>
      <c r="S168" s="978"/>
      <c r="T168" s="978"/>
      <c r="U168" s="978"/>
      <c r="V168" s="978"/>
      <c r="W168" s="978"/>
      <c r="X168" s="978"/>
      <c r="Y168" s="978"/>
      <c r="Z168" s="978"/>
      <c r="AA168" s="978"/>
      <c r="AB168" s="978"/>
      <c r="AC168" s="978"/>
    </row>
    <row r="169" spans="3:29" s="375" customFormat="1">
      <c r="C169" s="1188"/>
      <c r="D169" s="977"/>
      <c r="E169" s="977"/>
      <c r="S169" s="978"/>
      <c r="T169" s="978"/>
      <c r="U169" s="978"/>
      <c r="V169" s="978"/>
      <c r="W169" s="978"/>
      <c r="X169" s="978"/>
      <c r="Y169" s="978"/>
      <c r="Z169" s="978"/>
      <c r="AA169" s="978"/>
      <c r="AB169" s="978"/>
      <c r="AC169" s="978"/>
    </row>
    <row r="170" spans="3:29" s="375" customFormat="1">
      <c r="C170" s="1188"/>
      <c r="D170" s="977"/>
      <c r="E170" s="977"/>
      <c r="S170" s="978"/>
      <c r="T170" s="978"/>
      <c r="U170" s="978"/>
      <c r="V170" s="978"/>
      <c r="W170" s="978"/>
      <c r="X170" s="978"/>
      <c r="Y170" s="978"/>
      <c r="Z170" s="978"/>
      <c r="AA170" s="978"/>
      <c r="AB170" s="978"/>
      <c r="AC170" s="978"/>
    </row>
    <row r="171" spans="3:29" s="375" customFormat="1">
      <c r="C171" s="1188"/>
      <c r="D171" s="977"/>
      <c r="E171" s="977"/>
      <c r="S171" s="978"/>
      <c r="T171" s="978"/>
      <c r="U171" s="978"/>
      <c r="V171" s="978"/>
      <c r="W171" s="978"/>
      <c r="X171" s="978"/>
      <c r="Y171" s="978"/>
      <c r="Z171" s="978"/>
      <c r="AA171" s="978"/>
      <c r="AB171" s="978"/>
      <c r="AC171" s="978"/>
    </row>
    <row r="172" spans="3:29" s="375" customFormat="1">
      <c r="C172" s="1188"/>
      <c r="D172" s="977"/>
      <c r="E172" s="977"/>
      <c r="S172" s="978"/>
      <c r="T172" s="978"/>
      <c r="U172" s="978"/>
      <c r="V172" s="978"/>
      <c r="W172" s="978"/>
      <c r="X172" s="978"/>
      <c r="Y172" s="978"/>
      <c r="Z172" s="978"/>
      <c r="AA172" s="978"/>
      <c r="AB172" s="978"/>
      <c r="AC172" s="978"/>
    </row>
    <row r="173" spans="3:29" s="375" customFormat="1">
      <c r="C173" s="1188"/>
      <c r="D173" s="977"/>
      <c r="E173" s="977"/>
      <c r="S173" s="978"/>
      <c r="T173" s="978"/>
      <c r="U173" s="978"/>
      <c r="V173" s="978"/>
      <c r="W173" s="978"/>
      <c r="X173" s="978"/>
      <c r="Y173" s="978"/>
      <c r="Z173" s="978"/>
      <c r="AA173" s="978"/>
      <c r="AB173" s="978"/>
      <c r="AC173" s="978"/>
    </row>
    <row r="174" spans="3:29" s="375" customFormat="1">
      <c r="C174" s="1188"/>
      <c r="D174" s="977"/>
      <c r="E174" s="977"/>
      <c r="S174" s="978"/>
      <c r="T174" s="978"/>
      <c r="U174" s="978"/>
      <c r="V174" s="978"/>
      <c r="W174" s="978"/>
      <c r="X174" s="978"/>
      <c r="Y174" s="978"/>
      <c r="Z174" s="978"/>
      <c r="AA174" s="978"/>
      <c r="AB174" s="978"/>
      <c r="AC174" s="978"/>
    </row>
    <row r="175" spans="3:29" s="375" customFormat="1">
      <c r="C175" s="1188"/>
      <c r="D175" s="977"/>
      <c r="E175" s="977"/>
      <c r="S175" s="978"/>
      <c r="T175" s="978"/>
      <c r="U175" s="978"/>
      <c r="V175" s="978"/>
      <c r="W175" s="978"/>
      <c r="X175" s="978"/>
      <c r="Y175" s="978"/>
      <c r="Z175" s="978"/>
      <c r="AA175" s="978"/>
      <c r="AB175" s="978"/>
      <c r="AC175" s="978"/>
    </row>
    <row r="176" spans="3:29" s="375" customFormat="1">
      <c r="C176" s="1188"/>
      <c r="D176" s="977"/>
      <c r="E176" s="977"/>
      <c r="S176" s="978"/>
      <c r="T176" s="978"/>
      <c r="U176" s="978"/>
      <c r="V176" s="978"/>
      <c r="W176" s="978"/>
      <c r="X176" s="978"/>
      <c r="Y176" s="978"/>
      <c r="Z176" s="978"/>
      <c r="AA176" s="978"/>
      <c r="AB176" s="978"/>
      <c r="AC176" s="978"/>
    </row>
    <row r="177" spans="3:29" s="375" customFormat="1">
      <c r="C177" s="1188"/>
      <c r="D177" s="977"/>
      <c r="E177" s="977"/>
      <c r="S177" s="978"/>
      <c r="T177" s="978"/>
      <c r="U177" s="978"/>
      <c r="V177" s="978"/>
      <c r="W177" s="978"/>
      <c r="X177" s="978"/>
      <c r="Y177" s="978"/>
      <c r="Z177" s="978"/>
      <c r="AA177" s="978"/>
      <c r="AB177" s="978"/>
      <c r="AC177" s="978"/>
    </row>
    <row r="178" spans="3:29" s="375" customFormat="1">
      <c r="C178" s="1188"/>
      <c r="D178" s="977"/>
      <c r="E178" s="977"/>
      <c r="S178" s="978"/>
      <c r="T178" s="978"/>
      <c r="U178" s="978"/>
      <c r="V178" s="978"/>
      <c r="W178" s="978"/>
      <c r="X178" s="978"/>
      <c r="Y178" s="978"/>
      <c r="Z178" s="978"/>
      <c r="AA178" s="978"/>
      <c r="AB178" s="978"/>
      <c r="AC178" s="978"/>
    </row>
    <row r="179" spans="3:29" s="375" customFormat="1">
      <c r="C179" s="1188"/>
      <c r="D179" s="977"/>
      <c r="E179" s="977"/>
      <c r="S179" s="978"/>
      <c r="T179" s="978"/>
      <c r="U179" s="978"/>
      <c r="V179" s="978"/>
      <c r="W179" s="978"/>
      <c r="X179" s="978"/>
      <c r="Y179" s="978"/>
      <c r="Z179" s="978"/>
      <c r="AA179" s="978"/>
      <c r="AB179" s="978"/>
      <c r="AC179" s="978"/>
    </row>
    <row r="180" spans="3:29" s="375" customFormat="1">
      <c r="C180" s="1188"/>
      <c r="D180" s="977"/>
      <c r="E180" s="977"/>
      <c r="S180" s="978"/>
      <c r="T180" s="978"/>
      <c r="U180" s="978"/>
      <c r="V180" s="978"/>
      <c r="W180" s="978"/>
      <c r="X180" s="978"/>
      <c r="Y180" s="978"/>
      <c r="Z180" s="978"/>
      <c r="AA180" s="978"/>
      <c r="AB180" s="978"/>
      <c r="AC180" s="978"/>
    </row>
    <row r="181" spans="3:29" s="375" customFormat="1">
      <c r="C181" s="1188"/>
      <c r="D181" s="977"/>
      <c r="E181" s="977"/>
      <c r="S181" s="978"/>
      <c r="T181" s="978"/>
      <c r="U181" s="978"/>
      <c r="V181" s="978"/>
      <c r="W181" s="978"/>
      <c r="X181" s="978"/>
      <c r="Y181" s="978"/>
      <c r="Z181" s="978"/>
      <c r="AA181" s="978"/>
      <c r="AB181" s="978"/>
      <c r="AC181" s="978"/>
    </row>
    <row r="182" spans="3:29" s="375" customFormat="1">
      <c r="C182" s="1188"/>
      <c r="D182" s="977"/>
      <c r="E182" s="977"/>
      <c r="S182" s="978"/>
      <c r="T182" s="978"/>
      <c r="U182" s="978"/>
      <c r="V182" s="978"/>
      <c r="W182" s="978"/>
      <c r="X182" s="978"/>
      <c r="Y182" s="978"/>
      <c r="Z182" s="978"/>
      <c r="AA182" s="978"/>
      <c r="AB182" s="978"/>
      <c r="AC182" s="978"/>
    </row>
    <row r="183" spans="3:29" s="375" customFormat="1">
      <c r="C183" s="1188"/>
      <c r="D183" s="977"/>
      <c r="E183" s="977"/>
      <c r="S183" s="978"/>
      <c r="T183" s="978"/>
      <c r="U183" s="978"/>
      <c r="V183" s="978"/>
      <c r="W183" s="978"/>
      <c r="X183" s="978"/>
      <c r="Y183" s="978"/>
      <c r="Z183" s="978"/>
      <c r="AA183" s="978"/>
      <c r="AB183" s="978"/>
      <c r="AC183" s="978"/>
    </row>
    <row r="184" spans="3:29" s="375" customFormat="1">
      <c r="C184" s="1188"/>
      <c r="D184" s="977"/>
      <c r="E184" s="977"/>
      <c r="S184" s="978"/>
      <c r="T184" s="978"/>
      <c r="U184" s="978"/>
      <c r="V184" s="978"/>
      <c r="W184" s="978"/>
      <c r="X184" s="978"/>
      <c r="Y184" s="978"/>
      <c r="Z184" s="978"/>
      <c r="AA184" s="978"/>
      <c r="AB184" s="978"/>
      <c r="AC184" s="978"/>
    </row>
    <row r="185" spans="3:29" s="375" customFormat="1">
      <c r="C185" s="1188"/>
      <c r="D185" s="977"/>
      <c r="E185" s="977"/>
      <c r="S185" s="978"/>
      <c r="T185" s="978"/>
      <c r="U185" s="978"/>
      <c r="V185" s="978"/>
      <c r="W185" s="978"/>
      <c r="X185" s="978"/>
      <c r="Y185" s="978"/>
      <c r="Z185" s="978"/>
      <c r="AA185" s="978"/>
      <c r="AB185" s="978"/>
      <c r="AC185" s="978"/>
    </row>
    <row r="186" spans="3:29" s="375" customFormat="1">
      <c r="C186" s="1188"/>
      <c r="D186" s="977"/>
      <c r="E186" s="977"/>
      <c r="S186" s="978"/>
      <c r="T186" s="978"/>
      <c r="U186" s="978"/>
      <c r="V186" s="978"/>
      <c r="W186" s="978"/>
      <c r="X186" s="978"/>
      <c r="Y186" s="978"/>
      <c r="Z186" s="978"/>
      <c r="AA186" s="978"/>
      <c r="AB186" s="978"/>
      <c r="AC186" s="978"/>
    </row>
    <row r="187" spans="3:29" s="375" customFormat="1">
      <c r="C187" s="1188"/>
      <c r="D187" s="977"/>
      <c r="E187" s="977"/>
      <c r="S187" s="978"/>
      <c r="T187" s="978"/>
      <c r="U187" s="978"/>
      <c r="V187" s="978"/>
      <c r="W187" s="978"/>
      <c r="X187" s="978"/>
      <c r="Y187" s="978"/>
      <c r="Z187" s="978"/>
      <c r="AA187" s="978"/>
      <c r="AB187" s="978"/>
      <c r="AC187" s="978"/>
    </row>
    <row r="188" spans="3:29" s="375" customFormat="1">
      <c r="C188" s="1188"/>
      <c r="D188" s="977"/>
      <c r="E188" s="977"/>
      <c r="S188" s="978"/>
      <c r="T188" s="978"/>
      <c r="U188" s="978"/>
      <c r="V188" s="978"/>
      <c r="W188" s="978"/>
      <c r="X188" s="978"/>
      <c r="Y188" s="978"/>
      <c r="Z188" s="978"/>
      <c r="AA188" s="978"/>
      <c r="AB188" s="978"/>
      <c r="AC188" s="978"/>
    </row>
    <row r="189" spans="3:29" s="375" customFormat="1">
      <c r="C189" s="1188"/>
      <c r="D189" s="977"/>
      <c r="E189" s="977"/>
      <c r="S189" s="978"/>
      <c r="T189" s="978"/>
      <c r="U189" s="978"/>
      <c r="V189" s="978"/>
      <c r="W189" s="978"/>
      <c r="X189" s="978"/>
      <c r="Y189" s="978"/>
      <c r="Z189" s="978"/>
      <c r="AA189" s="978"/>
      <c r="AB189" s="978"/>
      <c r="AC189" s="978"/>
    </row>
    <row r="190" spans="3:29" s="375" customFormat="1">
      <c r="C190" s="1188"/>
      <c r="D190" s="977"/>
      <c r="E190" s="977"/>
      <c r="S190" s="978"/>
      <c r="T190" s="978"/>
      <c r="U190" s="978"/>
      <c r="V190" s="978"/>
      <c r="W190" s="978"/>
      <c r="X190" s="978"/>
      <c r="Y190" s="978"/>
      <c r="Z190" s="978"/>
      <c r="AA190" s="978"/>
      <c r="AB190" s="978"/>
      <c r="AC190" s="978"/>
    </row>
    <row r="191" spans="3:29" s="375" customFormat="1">
      <c r="C191" s="1188"/>
      <c r="D191" s="977"/>
      <c r="E191" s="977"/>
      <c r="S191" s="978"/>
      <c r="T191" s="978"/>
      <c r="U191" s="978"/>
      <c r="V191" s="978"/>
      <c r="W191" s="978"/>
      <c r="X191" s="978"/>
      <c r="Y191" s="978"/>
      <c r="Z191" s="978"/>
      <c r="AA191" s="978"/>
      <c r="AB191" s="978"/>
      <c r="AC191" s="978"/>
    </row>
    <row r="192" spans="3:29" s="375" customFormat="1">
      <c r="C192" s="1188"/>
      <c r="D192" s="977"/>
      <c r="E192" s="977"/>
      <c r="S192" s="978"/>
      <c r="T192" s="978"/>
      <c r="U192" s="978"/>
      <c r="V192" s="978"/>
      <c r="W192" s="978"/>
      <c r="X192" s="978"/>
      <c r="Y192" s="978"/>
      <c r="Z192" s="978"/>
      <c r="AA192" s="978"/>
      <c r="AB192" s="978"/>
      <c r="AC192" s="978"/>
    </row>
    <row r="193" spans="3:29" s="375" customFormat="1">
      <c r="C193" s="1188"/>
      <c r="D193" s="977"/>
      <c r="E193" s="977"/>
      <c r="S193" s="978"/>
      <c r="T193" s="978"/>
      <c r="U193" s="978"/>
      <c r="V193" s="978"/>
      <c r="W193" s="978"/>
      <c r="X193" s="978"/>
      <c r="Y193" s="978"/>
      <c r="Z193" s="978"/>
      <c r="AA193" s="978"/>
      <c r="AB193" s="978"/>
      <c r="AC193" s="978"/>
    </row>
    <row r="194" spans="3:29" s="375" customFormat="1">
      <c r="C194" s="1188"/>
      <c r="D194" s="977"/>
      <c r="E194" s="977"/>
      <c r="S194" s="978"/>
      <c r="T194" s="978"/>
      <c r="U194" s="978"/>
      <c r="V194" s="978"/>
      <c r="W194" s="978"/>
      <c r="X194" s="978"/>
      <c r="Y194" s="978"/>
      <c r="Z194" s="978"/>
      <c r="AA194" s="978"/>
      <c r="AB194" s="978"/>
      <c r="AC194" s="978"/>
    </row>
    <row r="195" spans="3:29" s="375" customFormat="1">
      <c r="C195" s="1188"/>
      <c r="D195" s="977"/>
      <c r="E195" s="977"/>
      <c r="S195" s="978"/>
      <c r="T195" s="978"/>
      <c r="U195" s="978"/>
      <c r="V195" s="978"/>
      <c r="W195" s="978"/>
      <c r="X195" s="978"/>
      <c r="Y195" s="978"/>
      <c r="Z195" s="978"/>
      <c r="AA195" s="978"/>
      <c r="AB195" s="978"/>
      <c r="AC195" s="978"/>
    </row>
    <row r="196" spans="3:29" s="375" customFormat="1">
      <c r="C196" s="1188"/>
      <c r="D196" s="977"/>
      <c r="E196" s="977"/>
      <c r="S196" s="978"/>
      <c r="T196" s="978"/>
      <c r="U196" s="978"/>
      <c r="V196" s="978"/>
      <c r="W196" s="978"/>
      <c r="X196" s="978"/>
      <c r="Y196" s="978"/>
      <c r="Z196" s="978"/>
      <c r="AA196" s="978"/>
      <c r="AB196" s="978"/>
      <c r="AC196" s="978"/>
    </row>
    <row r="197" spans="3:29" s="375" customFormat="1">
      <c r="C197" s="1188"/>
      <c r="D197" s="977"/>
      <c r="E197" s="977"/>
      <c r="S197" s="978"/>
      <c r="T197" s="978"/>
      <c r="U197" s="978"/>
      <c r="V197" s="978"/>
      <c r="W197" s="978"/>
      <c r="X197" s="978"/>
      <c r="Y197" s="978"/>
      <c r="Z197" s="978"/>
      <c r="AA197" s="978"/>
      <c r="AB197" s="978"/>
      <c r="AC197" s="978"/>
    </row>
    <row r="198" spans="3:29" s="375" customFormat="1">
      <c r="C198" s="1188"/>
      <c r="D198" s="977"/>
      <c r="E198" s="977"/>
      <c r="S198" s="978"/>
      <c r="T198" s="978"/>
      <c r="U198" s="978"/>
      <c r="V198" s="978"/>
      <c r="W198" s="978"/>
      <c r="X198" s="978"/>
      <c r="Y198" s="978"/>
      <c r="Z198" s="978"/>
      <c r="AA198" s="978"/>
      <c r="AB198" s="978"/>
      <c r="AC198" s="978"/>
    </row>
    <row r="199" spans="3:29" s="375" customFormat="1">
      <c r="C199" s="1188"/>
      <c r="D199" s="977"/>
      <c r="E199" s="977"/>
      <c r="S199" s="978"/>
      <c r="T199" s="978"/>
      <c r="U199" s="978"/>
      <c r="V199" s="978"/>
      <c r="W199" s="978"/>
      <c r="X199" s="978"/>
      <c r="Y199" s="978"/>
      <c r="Z199" s="978"/>
      <c r="AA199" s="978"/>
      <c r="AB199" s="978"/>
      <c r="AC199" s="978"/>
    </row>
    <row r="200" spans="3:29" s="375" customFormat="1">
      <c r="C200" s="1188"/>
      <c r="D200" s="977"/>
      <c r="E200" s="977"/>
      <c r="S200" s="978"/>
      <c r="T200" s="978"/>
      <c r="U200" s="978"/>
      <c r="V200" s="978"/>
      <c r="W200" s="978"/>
      <c r="X200" s="978"/>
      <c r="Y200" s="978"/>
      <c r="Z200" s="978"/>
      <c r="AA200" s="978"/>
      <c r="AB200" s="978"/>
      <c r="AC200" s="978"/>
    </row>
    <row r="201" spans="3:29" s="375" customFormat="1">
      <c r="C201" s="1188"/>
      <c r="D201" s="977"/>
      <c r="E201" s="977"/>
      <c r="S201" s="978"/>
      <c r="T201" s="978"/>
      <c r="U201" s="978"/>
      <c r="V201" s="978"/>
      <c r="W201" s="978"/>
      <c r="X201" s="978"/>
      <c r="Y201" s="978"/>
      <c r="Z201" s="978"/>
      <c r="AA201" s="978"/>
      <c r="AB201" s="978"/>
      <c r="AC201" s="978"/>
    </row>
    <row r="202" spans="3:29" s="375" customFormat="1">
      <c r="C202" s="1188"/>
      <c r="D202" s="977"/>
      <c r="E202" s="977"/>
      <c r="S202" s="978"/>
      <c r="T202" s="978"/>
      <c r="U202" s="978"/>
      <c r="V202" s="978"/>
      <c r="W202" s="978"/>
      <c r="X202" s="978"/>
      <c r="Y202" s="978"/>
      <c r="Z202" s="978"/>
      <c r="AA202" s="978"/>
      <c r="AB202" s="978"/>
      <c r="AC202" s="978"/>
    </row>
    <row r="203" spans="3:29" s="375" customFormat="1">
      <c r="C203" s="1188"/>
      <c r="D203" s="977"/>
      <c r="E203" s="977"/>
      <c r="S203" s="978"/>
      <c r="T203" s="978"/>
      <c r="U203" s="978"/>
      <c r="V203" s="978"/>
      <c r="W203" s="978"/>
      <c r="X203" s="978"/>
      <c r="Y203" s="978"/>
      <c r="Z203" s="978"/>
      <c r="AA203" s="978"/>
      <c r="AB203" s="978"/>
      <c r="AC203" s="978"/>
    </row>
    <row r="204" spans="3:29" s="375" customFormat="1">
      <c r="C204" s="1188"/>
      <c r="D204" s="977"/>
      <c r="E204" s="977"/>
      <c r="S204" s="978"/>
      <c r="T204" s="978"/>
      <c r="U204" s="978"/>
      <c r="V204" s="978"/>
      <c r="W204" s="978"/>
      <c r="X204" s="978"/>
      <c r="Y204" s="978"/>
      <c r="Z204" s="978"/>
      <c r="AA204" s="978"/>
      <c r="AB204" s="978"/>
      <c r="AC204" s="978"/>
    </row>
    <row r="205" spans="3:29" s="375" customFormat="1">
      <c r="C205" s="1188"/>
      <c r="D205" s="977"/>
      <c r="E205" s="977"/>
      <c r="S205" s="978"/>
      <c r="T205" s="978"/>
      <c r="U205" s="978"/>
      <c r="V205" s="978"/>
      <c r="W205" s="978"/>
      <c r="X205" s="978"/>
      <c r="Y205" s="978"/>
      <c r="Z205" s="978"/>
      <c r="AA205" s="978"/>
      <c r="AB205" s="978"/>
      <c r="AC205" s="978"/>
    </row>
    <row r="206" spans="3:29" s="375" customFormat="1">
      <c r="C206" s="1188"/>
      <c r="D206" s="977"/>
      <c r="E206" s="977"/>
      <c r="S206" s="978"/>
      <c r="T206" s="978"/>
      <c r="U206" s="978"/>
      <c r="V206" s="978"/>
      <c r="W206" s="978"/>
      <c r="X206" s="978"/>
      <c r="Y206" s="978"/>
      <c r="Z206" s="978"/>
      <c r="AA206" s="978"/>
      <c r="AB206" s="978"/>
      <c r="AC206" s="978"/>
    </row>
    <row r="207" spans="3:29" s="375" customFormat="1">
      <c r="C207" s="1188"/>
      <c r="D207" s="977"/>
      <c r="E207" s="977"/>
      <c r="S207" s="978"/>
      <c r="T207" s="978"/>
      <c r="U207" s="978"/>
      <c r="V207" s="978"/>
      <c r="W207" s="978"/>
      <c r="X207" s="978"/>
      <c r="Y207" s="978"/>
      <c r="Z207" s="978"/>
      <c r="AA207" s="978"/>
      <c r="AB207" s="978"/>
      <c r="AC207" s="978"/>
    </row>
    <row r="208" spans="3:29" s="375" customFormat="1">
      <c r="C208" s="1188"/>
      <c r="D208" s="977"/>
      <c r="E208" s="977"/>
      <c r="S208" s="978"/>
      <c r="T208" s="978"/>
      <c r="U208" s="978"/>
      <c r="V208" s="978"/>
      <c r="W208" s="978"/>
      <c r="X208" s="978"/>
      <c r="Y208" s="978"/>
      <c r="Z208" s="978"/>
      <c r="AA208" s="978"/>
      <c r="AB208" s="978"/>
      <c r="AC208" s="978"/>
    </row>
    <row r="209" spans="3:29" s="375" customFormat="1">
      <c r="C209" s="1188"/>
      <c r="D209" s="977"/>
      <c r="E209" s="977"/>
      <c r="S209" s="978"/>
      <c r="T209" s="978"/>
      <c r="U209" s="978"/>
      <c r="V209" s="978"/>
      <c r="W209" s="978"/>
      <c r="X209" s="978"/>
      <c r="Y209" s="978"/>
      <c r="Z209" s="978"/>
      <c r="AA209" s="978"/>
      <c r="AB209" s="978"/>
      <c r="AC209" s="978"/>
    </row>
    <row r="210" spans="3:29" s="375" customFormat="1">
      <c r="C210" s="1188"/>
      <c r="D210" s="977"/>
      <c r="E210" s="977"/>
      <c r="S210" s="978"/>
      <c r="T210" s="978"/>
      <c r="U210" s="978"/>
      <c r="V210" s="978"/>
      <c r="W210" s="978"/>
      <c r="X210" s="978"/>
      <c r="Y210" s="978"/>
      <c r="Z210" s="978"/>
      <c r="AA210" s="978"/>
      <c r="AB210" s="978"/>
      <c r="AC210" s="978"/>
    </row>
    <row r="211" spans="3:29" s="375" customFormat="1">
      <c r="C211" s="1188"/>
      <c r="D211" s="977"/>
      <c r="E211" s="977"/>
      <c r="S211" s="978"/>
      <c r="T211" s="978"/>
      <c r="U211" s="978"/>
      <c r="V211" s="978"/>
      <c r="W211" s="978"/>
      <c r="X211" s="978"/>
      <c r="Y211" s="978"/>
      <c r="Z211" s="978"/>
      <c r="AA211" s="978"/>
      <c r="AB211" s="978"/>
      <c r="AC211" s="978"/>
    </row>
    <row r="212" spans="3:29" s="375" customFormat="1">
      <c r="C212" s="1188"/>
      <c r="D212" s="977"/>
      <c r="E212" s="977"/>
      <c r="S212" s="978"/>
      <c r="T212" s="978"/>
      <c r="U212" s="978"/>
      <c r="V212" s="978"/>
      <c r="W212" s="978"/>
      <c r="X212" s="978"/>
      <c r="Y212" s="978"/>
      <c r="Z212" s="978"/>
      <c r="AA212" s="978"/>
      <c r="AB212" s="978"/>
      <c r="AC212" s="978"/>
    </row>
    <row r="213" spans="3:29" s="375" customFormat="1">
      <c r="C213" s="1188"/>
      <c r="D213" s="977"/>
      <c r="E213" s="977"/>
      <c r="S213" s="978"/>
      <c r="T213" s="978"/>
      <c r="U213" s="978"/>
      <c r="V213" s="978"/>
      <c r="W213" s="978"/>
      <c r="X213" s="978"/>
      <c r="Y213" s="978"/>
      <c r="Z213" s="978"/>
      <c r="AA213" s="978"/>
      <c r="AB213" s="978"/>
      <c r="AC213" s="978"/>
    </row>
    <row r="214" spans="3:29" s="375" customFormat="1">
      <c r="C214" s="1188"/>
      <c r="D214" s="977"/>
      <c r="E214" s="977"/>
      <c r="S214" s="978"/>
      <c r="T214" s="978"/>
      <c r="U214" s="978"/>
      <c r="V214" s="978"/>
      <c r="W214" s="978"/>
      <c r="X214" s="978"/>
      <c r="Y214" s="978"/>
      <c r="Z214" s="978"/>
      <c r="AA214" s="978"/>
      <c r="AB214" s="978"/>
      <c r="AC214" s="978"/>
    </row>
    <row r="215" spans="3:29" s="375" customFormat="1">
      <c r="C215" s="1188"/>
      <c r="D215" s="977"/>
      <c r="E215" s="977"/>
      <c r="S215" s="978"/>
      <c r="T215" s="978"/>
      <c r="U215" s="978"/>
      <c r="V215" s="978"/>
      <c r="W215" s="978"/>
      <c r="X215" s="978"/>
      <c r="Y215" s="978"/>
      <c r="Z215" s="978"/>
      <c r="AA215" s="978"/>
      <c r="AB215" s="978"/>
      <c r="AC215" s="978"/>
    </row>
    <row r="216" spans="3:29" s="375" customFormat="1">
      <c r="C216" s="1188"/>
      <c r="D216" s="977"/>
      <c r="E216" s="977"/>
      <c r="S216" s="978"/>
      <c r="T216" s="978"/>
      <c r="U216" s="978"/>
      <c r="V216" s="978"/>
      <c r="W216" s="978"/>
      <c r="X216" s="978"/>
      <c r="Y216" s="978"/>
      <c r="Z216" s="978"/>
      <c r="AA216" s="978"/>
      <c r="AB216" s="978"/>
      <c r="AC216" s="978"/>
    </row>
    <row r="217" spans="3:29" s="375" customFormat="1">
      <c r="C217" s="1188"/>
      <c r="D217" s="977"/>
      <c r="E217" s="977"/>
      <c r="S217" s="978"/>
      <c r="T217" s="978"/>
      <c r="U217" s="978"/>
      <c r="V217" s="978"/>
      <c r="W217" s="978"/>
      <c r="X217" s="978"/>
      <c r="Y217" s="978"/>
      <c r="Z217" s="978"/>
      <c r="AA217" s="978"/>
      <c r="AB217" s="978"/>
      <c r="AC217" s="978"/>
    </row>
    <row r="218" spans="3:29" s="375" customFormat="1">
      <c r="C218" s="1188"/>
      <c r="D218" s="977"/>
      <c r="E218" s="977"/>
      <c r="S218" s="978"/>
      <c r="T218" s="978"/>
      <c r="U218" s="978"/>
      <c r="V218" s="978"/>
      <c r="W218" s="978"/>
      <c r="X218" s="978"/>
      <c r="Y218" s="978"/>
      <c r="Z218" s="978"/>
      <c r="AA218" s="978"/>
      <c r="AB218" s="978"/>
      <c r="AC218" s="978"/>
    </row>
    <row r="219" spans="3:29" s="375" customFormat="1">
      <c r="C219" s="1188"/>
      <c r="D219" s="977"/>
      <c r="E219" s="977"/>
      <c r="S219" s="978"/>
      <c r="T219" s="978"/>
      <c r="U219" s="978"/>
      <c r="V219" s="978"/>
      <c r="W219" s="978"/>
      <c r="X219" s="978"/>
      <c r="Y219" s="978"/>
      <c r="Z219" s="978"/>
      <c r="AA219" s="978"/>
      <c r="AB219" s="978"/>
      <c r="AC219" s="978"/>
    </row>
    <row r="220" spans="3:29" s="375" customFormat="1">
      <c r="C220" s="1188"/>
      <c r="D220" s="977"/>
      <c r="E220" s="977"/>
      <c r="S220" s="978"/>
      <c r="T220" s="978"/>
      <c r="U220" s="978"/>
      <c r="V220" s="978"/>
      <c r="W220" s="978"/>
      <c r="X220" s="978"/>
      <c r="Y220" s="978"/>
      <c r="Z220" s="978"/>
      <c r="AA220" s="978"/>
      <c r="AB220" s="978"/>
      <c r="AC220" s="978"/>
    </row>
    <row r="221" spans="3:29" s="375" customFormat="1">
      <c r="C221" s="1188"/>
      <c r="D221" s="977"/>
      <c r="E221" s="977"/>
      <c r="S221" s="978"/>
      <c r="T221" s="978"/>
      <c r="U221" s="978"/>
      <c r="V221" s="978"/>
      <c r="W221" s="978"/>
      <c r="X221" s="978"/>
      <c r="Y221" s="978"/>
      <c r="Z221" s="978"/>
      <c r="AA221" s="978"/>
      <c r="AB221" s="978"/>
      <c r="AC221" s="978"/>
    </row>
    <row r="222" spans="3:29" s="375" customFormat="1">
      <c r="C222" s="1188"/>
      <c r="D222" s="977"/>
      <c r="E222" s="977"/>
      <c r="S222" s="978"/>
      <c r="T222" s="978"/>
      <c r="U222" s="978"/>
      <c r="V222" s="978"/>
      <c r="W222" s="978"/>
      <c r="X222" s="978"/>
      <c r="Y222" s="978"/>
      <c r="Z222" s="978"/>
      <c r="AA222" s="978"/>
      <c r="AB222" s="978"/>
      <c r="AC222" s="978"/>
    </row>
    <row r="223" spans="3:29" s="375" customFormat="1">
      <c r="C223" s="1188"/>
      <c r="D223" s="977"/>
      <c r="E223" s="977"/>
      <c r="S223" s="978"/>
      <c r="T223" s="978"/>
      <c r="U223" s="978"/>
      <c r="V223" s="978"/>
      <c r="W223" s="978"/>
      <c r="X223" s="978"/>
      <c r="Y223" s="978"/>
      <c r="Z223" s="978"/>
      <c r="AA223" s="978"/>
      <c r="AB223" s="978"/>
      <c r="AC223" s="978"/>
    </row>
    <row r="224" spans="3:29" s="375" customFormat="1">
      <c r="C224" s="1188"/>
      <c r="D224" s="977"/>
      <c r="E224" s="977"/>
      <c r="S224" s="978"/>
      <c r="T224" s="978"/>
      <c r="U224" s="978"/>
      <c r="V224" s="978"/>
      <c r="W224" s="978"/>
      <c r="X224" s="978"/>
      <c r="Y224" s="978"/>
      <c r="Z224" s="978"/>
      <c r="AA224" s="978"/>
      <c r="AB224" s="978"/>
      <c r="AC224" s="978"/>
    </row>
    <row r="225" spans="3:29" s="375" customFormat="1">
      <c r="C225" s="1188"/>
      <c r="D225" s="977"/>
      <c r="E225" s="977"/>
      <c r="S225" s="978"/>
      <c r="T225" s="978"/>
      <c r="U225" s="978"/>
      <c r="V225" s="978"/>
      <c r="W225" s="978"/>
      <c r="X225" s="978"/>
      <c r="Y225" s="978"/>
      <c r="Z225" s="978"/>
      <c r="AA225" s="978"/>
      <c r="AB225" s="978"/>
      <c r="AC225" s="978"/>
    </row>
    <row r="226" spans="3:29" s="375" customFormat="1">
      <c r="C226" s="1188"/>
      <c r="D226" s="977"/>
      <c r="E226" s="977"/>
      <c r="S226" s="978"/>
      <c r="T226" s="978"/>
      <c r="U226" s="978"/>
      <c r="V226" s="978"/>
      <c r="W226" s="978"/>
      <c r="X226" s="978"/>
      <c r="Y226" s="978"/>
      <c r="Z226" s="978"/>
      <c r="AA226" s="978"/>
      <c r="AB226" s="978"/>
      <c r="AC226" s="978"/>
    </row>
    <row r="227" spans="3:29" s="375" customFormat="1">
      <c r="C227" s="1188"/>
      <c r="D227" s="977"/>
      <c r="E227" s="977"/>
      <c r="S227" s="978"/>
      <c r="T227" s="978"/>
      <c r="U227" s="978"/>
      <c r="V227" s="978"/>
      <c r="W227" s="978"/>
      <c r="X227" s="978"/>
      <c r="Y227" s="978"/>
      <c r="Z227" s="978"/>
      <c r="AA227" s="978"/>
      <c r="AB227" s="978"/>
      <c r="AC227" s="978"/>
    </row>
    <row r="228" spans="3:29" s="375" customFormat="1">
      <c r="C228" s="1188"/>
      <c r="D228" s="977"/>
      <c r="E228" s="977"/>
      <c r="S228" s="978"/>
      <c r="T228" s="978"/>
      <c r="U228" s="978"/>
      <c r="V228" s="978"/>
      <c r="W228" s="978"/>
      <c r="X228" s="978"/>
      <c r="Y228" s="978"/>
      <c r="Z228" s="978"/>
      <c r="AA228" s="978"/>
      <c r="AB228" s="978"/>
      <c r="AC228" s="978"/>
    </row>
    <row r="229" spans="3:29" s="375" customFormat="1">
      <c r="C229" s="1188"/>
      <c r="D229" s="977"/>
      <c r="E229" s="977"/>
      <c r="S229" s="978"/>
      <c r="T229" s="978"/>
      <c r="U229" s="978"/>
      <c r="V229" s="978"/>
      <c r="W229" s="978"/>
      <c r="X229" s="978"/>
      <c r="Y229" s="978"/>
      <c r="Z229" s="978"/>
      <c r="AA229" s="978"/>
      <c r="AB229" s="978"/>
      <c r="AC229" s="978"/>
    </row>
    <row r="230" spans="3:29" s="375" customFormat="1">
      <c r="C230" s="1188"/>
      <c r="D230" s="977"/>
      <c r="E230" s="977"/>
      <c r="S230" s="978"/>
      <c r="T230" s="978"/>
      <c r="U230" s="978"/>
      <c r="V230" s="978"/>
      <c r="W230" s="978"/>
      <c r="X230" s="978"/>
      <c r="Y230" s="978"/>
      <c r="Z230" s="978"/>
      <c r="AA230" s="978"/>
      <c r="AB230" s="978"/>
      <c r="AC230" s="978"/>
    </row>
    <row r="231" spans="3:29" s="375" customFormat="1">
      <c r="C231" s="1188"/>
      <c r="D231" s="977"/>
      <c r="E231" s="977"/>
      <c r="S231" s="978"/>
      <c r="T231" s="978"/>
      <c r="U231" s="978"/>
      <c r="V231" s="978"/>
      <c r="W231" s="978"/>
      <c r="X231" s="978"/>
      <c r="Y231" s="978"/>
      <c r="Z231" s="978"/>
      <c r="AA231" s="978"/>
      <c r="AB231" s="978"/>
      <c r="AC231" s="978"/>
    </row>
    <row r="232" spans="3:29" s="375" customFormat="1">
      <c r="C232" s="1188"/>
      <c r="D232" s="977"/>
      <c r="E232" s="977"/>
      <c r="S232" s="978"/>
      <c r="T232" s="978"/>
      <c r="U232" s="978"/>
      <c r="V232" s="978"/>
      <c r="W232" s="978"/>
      <c r="X232" s="978"/>
      <c r="Y232" s="978"/>
      <c r="Z232" s="978"/>
      <c r="AA232" s="978"/>
      <c r="AB232" s="978"/>
      <c r="AC232" s="978"/>
    </row>
    <row r="233" spans="3:29" s="375" customFormat="1">
      <c r="C233" s="1188"/>
      <c r="D233" s="977"/>
      <c r="E233" s="977"/>
      <c r="S233" s="978"/>
      <c r="T233" s="978"/>
      <c r="U233" s="978"/>
      <c r="V233" s="978"/>
      <c r="W233" s="978"/>
      <c r="X233" s="978"/>
      <c r="Y233" s="978"/>
      <c r="Z233" s="978"/>
      <c r="AA233" s="978"/>
      <c r="AB233" s="978"/>
      <c r="AC233" s="978"/>
    </row>
    <row r="234" spans="3:29" s="375" customFormat="1">
      <c r="C234" s="1188"/>
      <c r="D234" s="977"/>
      <c r="E234" s="977"/>
      <c r="S234" s="978"/>
      <c r="T234" s="978"/>
      <c r="U234" s="978"/>
      <c r="V234" s="978"/>
      <c r="W234" s="978"/>
      <c r="X234" s="978"/>
      <c r="Y234" s="978"/>
      <c r="Z234" s="978"/>
      <c r="AA234" s="978"/>
      <c r="AB234" s="978"/>
      <c r="AC234" s="978"/>
    </row>
    <row r="235" spans="3:29" s="375" customFormat="1">
      <c r="C235" s="1188"/>
      <c r="D235" s="977"/>
      <c r="E235" s="977"/>
      <c r="S235" s="978"/>
      <c r="T235" s="978"/>
      <c r="U235" s="978"/>
      <c r="V235" s="978"/>
      <c r="W235" s="978"/>
      <c r="X235" s="978"/>
      <c r="Y235" s="978"/>
      <c r="Z235" s="978"/>
      <c r="AA235" s="978"/>
      <c r="AB235" s="978"/>
      <c r="AC235" s="978"/>
    </row>
    <row r="236" spans="3:29" s="375" customFormat="1">
      <c r="C236" s="1188"/>
      <c r="D236" s="977"/>
      <c r="E236" s="977"/>
      <c r="S236" s="978"/>
      <c r="T236" s="978"/>
      <c r="U236" s="978"/>
      <c r="V236" s="978"/>
      <c r="W236" s="978"/>
      <c r="X236" s="978"/>
      <c r="Y236" s="978"/>
      <c r="Z236" s="978"/>
      <c r="AA236" s="978"/>
      <c r="AB236" s="978"/>
      <c r="AC236" s="978"/>
    </row>
    <row r="237" spans="3:29" s="375" customFormat="1">
      <c r="C237" s="1188"/>
      <c r="D237" s="977"/>
      <c r="E237" s="977"/>
      <c r="S237" s="978"/>
      <c r="T237" s="978"/>
      <c r="U237" s="978"/>
      <c r="V237" s="978"/>
      <c r="W237" s="978"/>
      <c r="X237" s="978"/>
      <c r="Y237" s="978"/>
      <c r="Z237" s="978"/>
      <c r="AA237" s="978"/>
      <c r="AB237" s="978"/>
      <c r="AC237" s="978"/>
    </row>
    <row r="238" spans="3:29" s="375" customFormat="1">
      <c r="C238" s="1188"/>
      <c r="D238" s="977"/>
      <c r="E238" s="977"/>
      <c r="S238" s="978"/>
      <c r="T238" s="978"/>
      <c r="U238" s="978"/>
      <c r="V238" s="978"/>
      <c r="W238" s="978"/>
      <c r="X238" s="978"/>
      <c r="Y238" s="978"/>
      <c r="Z238" s="978"/>
      <c r="AA238" s="978"/>
      <c r="AB238" s="978"/>
      <c r="AC238" s="978"/>
    </row>
    <row r="239" spans="3:29" s="375" customFormat="1">
      <c r="C239" s="1188"/>
      <c r="D239" s="977"/>
      <c r="E239" s="977"/>
      <c r="S239" s="978"/>
      <c r="T239" s="978"/>
      <c r="U239" s="978"/>
      <c r="V239" s="978"/>
      <c r="W239" s="978"/>
      <c r="X239" s="978"/>
      <c r="Y239" s="978"/>
      <c r="Z239" s="978"/>
      <c r="AA239" s="978"/>
      <c r="AB239" s="978"/>
      <c r="AC239" s="978"/>
    </row>
    <row r="240" spans="3:29" s="375" customFormat="1">
      <c r="C240" s="1188"/>
      <c r="D240" s="977"/>
      <c r="E240" s="977"/>
      <c r="S240" s="978"/>
      <c r="T240" s="978"/>
      <c r="U240" s="978"/>
      <c r="V240" s="978"/>
      <c r="W240" s="978"/>
      <c r="X240" s="978"/>
      <c r="Y240" s="978"/>
      <c r="Z240" s="978"/>
      <c r="AA240" s="978"/>
      <c r="AB240" s="978"/>
      <c r="AC240" s="978"/>
    </row>
    <row r="241" spans="3:29" s="375" customFormat="1">
      <c r="C241" s="1188"/>
      <c r="D241" s="977"/>
      <c r="E241" s="977"/>
      <c r="S241" s="978"/>
      <c r="T241" s="978"/>
      <c r="U241" s="978"/>
      <c r="V241" s="978"/>
      <c r="W241" s="978"/>
      <c r="X241" s="978"/>
      <c r="Y241" s="978"/>
      <c r="Z241" s="978"/>
      <c r="AA241" s="978"/>
      <c r="AB241" s="978"/>
      <c r="AC241" s="978"/>
    </row>
    <row r="242" spans="3:29" s="375" customFormat="1">
      <c r="C242" s="1188"/>
      <c r="D242" s="977"/>
      <c r="E242" s="977"/>
      <c r="S242" s="978"/>
      <c r="T242" s="978"/>
      <c r="U242" s="978"/>
      <c r="V242" s="978"/>
      <c r="W242" s="978"/>
      <c r="X242" s="978"/>
      <c r="Y242" s="978"/>
      <c r="Z242" s="978"/>
      <c r="AA242" s="978"/>
      <c r="AB242" s="978"/>
      <c r="AC242" s="978"/>
    </row>
    <row r="243" spans="3:29" s="375" customFormat="1">
      <c r="C243" s="1188"/>
      <c r="D243" s="977"/>
      <c r="E243" s="977"/>
      <c r="S243" s="978"/>
      <c r="T243" s="978"/>
      <c r="U243" s="978"/>
      <c r="V243" s="978"/>
      <c r="W243" s="978"/>
      <c r="X243" s="978"/>
      <c r="Y243" s="978"/>
      <c r="Z243" s="978"/>
      <c r="AA243" s="978"/>
      <c r="AB243" s="978"/>
      <c r="AC243" s="978"/>
    </row>
    <row r="244" spans="3:29" s="375" customFormat="1">
      <c r="C244" s="1188"/>
      <c r="D244" s="977"/>
      <c r="E244" s="977"/>
      <c r="S244" s="978"/>
      <c r="T244" s="978"/>
      <c r="U244" s="978"/>
      <c r="V244" s="978"/>
      <c r="W244" s="978"/>
      <c r="X244" s="978"/>
      <c r="Y244" s="978"/>
      <c r="Z244" s="978"/>
      <c r="AA244" s="978"/>
      <c r="AB244" s="978"/>
      <c r="AC244" s="978"/>
    </row>
    <row r="245" spans="3:29" s="375" customFormat="1">
      <c r="C245" s="1188"/>
      <c r="D245" s="977"/>
      <c r="E245" s="977"/>
      <c r="S245" s="978"/>
      <c r="T245" s="978"/>
      <c r="U245" s="978"/>
      <c r="V245" s="978"/>
      <c r="W245" s="978"/>
      <c r="X245" s="978"/>
      <c r="Y245" s="978"/>
      <c r="Z245" s="978"/>
      <c r="AA245" s="978"/>
      <c r="AB245" s="978"/>
      <c r="AC245" s="978"/>
    </row>
    <row r="246" spans="3:29" s="375" customFormat="1">
      <c r="C246" s="1188"/>
      <c r="D246" s="977"/>
      <c r="E246" s="977"/>
      <c r="S246" s="978"/>
      <c r="T246" s="978"/>
      <c r="U246" s="978"/>
      <c r="V246" s="978"/>
      <c r="W246" s="978"/>
      <c r="X246" s="978"/>
      <c r="Y246" s="978"/>
      <c r="Z246" s="978"/>
      <c r="AA246" s="978"/>
      <c r="AB246" s="978"/>
      <c r="AC246" s="978"/>
    </row>
    <row r="247" spans="3:29" s="375" customFormat="1">
      <c r="C247" s="1188"/>
      <c r="D247" s="977"/>
      <c r="E247" s="977"/>
      <c r="S247" s="978"/>
      <c r="T247" s="978"/>
      <c r="U247" s="978"/>
      <c r="V247" s="978"/>
      <c r="W247" s="978"/>
      <c r="X247" s="978"/>
      <c r="Y247" s="978"/>
      <c r="Z247" s="978"/>
      <c r="AA247" s="978"/>
      <c r="AB247" s="978"/>
      <c r="AC247" s="978"/>
    </row>
    <row r="248" spans="3:29" s="375" customFormat="1">
      <c r="C248" s="1188"/>
      <c r="D248" s="977"/>
      <c r="E248" s="977"/>
      <c r="S248" s="978"/>
      <c r="T248" s="978"/>
      <c r="U248" s="978"/>
      <c r="V248" s="978"/>
      <c r="W248" s="978"/>
      <c r="X248" s="978"/>
      <c r="Y248" s="978"/>
      <c r="Z248" s="978"/>
      <c r="AA248" s="978"/>
      <c r="AB248" s="978"/>
      <c r="AC248" s="978"/>
    </row>
    <row r="249" spans="3:29" s="375" customFormat="1">
      <c r="C249" s="1188"/>
      <c r="D249" s="977"/>
      <c r="E249" s="977"/>
      <c r="S249" s="978"/>
      <c r="T249" s="978"/>
      <c r="U249" s="978"/>
      <c r="V249" s="978"/>
      <c r="W249" s="978"/>
      <c r="X249" s="978"/>
      <c r="Y249" s="978"/>
      <c r="Z249" s="978"/>
      <c r="AA249" s="978"/>
      <c r="AB249" s="978"/>
      <c r="AC249" s="978"/>
    </row>
    <row r="250" spans="3:29" s="375" customFormat="1">
      <c r="C250" s="1188"/>
      <c r="D250" s="977"/>
      <c r="E250" s="977"/>
      <c r="S250" s="978"/>
      <c r="T250" s="978"/>
      <c r="U250" s="978"/>
      <c r="V250" s="978"/>
      <c r="W250" s="978"/>
      <c r="X250" s="978"/>
      <c r="Y250" s="978"/>
      <c r="Z250" s="978"/>
      <c r="AA250" s="978"/>
      <c r="AB250" s="978"/>
      <c r="AC250" s="978"/>
    </row>
    <row r="251" spans="3:29" s="375" customFormat="1">
      <c r="C251" s="1188"/>
      <c r="D251" s="977"/>
      <c r="E251" s="977"/>
      <c r="S251" s="978"/>
      <c r="T251" s="978"/>
      <c r="U251" s="978"/>
      <c r="V251" s="978"/>
      <c r="W251" s="978"/>
      <c r="X251" s="978"/>
      <c r="Y251" s="978"/>
      <c r="Z251" s="978"/>
      <c r="AA251" s="978"/>
      <c r="AB251" s="978"/>
      <c r="AC251" s="978"/>
    </row>
    <row r="252" spans="3:29" s="375" customFormat="1">
      <c r="C252" s="1188"/>
      <c r="D252" s="977"/>
      <c r="E252" s="977"/>
      <c r="S252" s="978"/>
      <c r="T252" s="978"/>
      <c r="U252" s="978"/>
      <c r="V252" s="978"/>
      <c r="W252" s="978"/>
      <c r="X252" s="978"/>
      <c r="Y252" s="978"/>
      <c r="Z252" s="978"/>
      <c r="AA252" s="978"/>
      <c r="AB252" s="978"/>
      <c r="AC252" s="978"/>
    </row>
    <row r="253" spans="3:29" s="375" customFormat="1">
      <c r="C253" s="1188"/>
      <c r="D253" s="977"/>
      <c r="E253" s="977"/>
      <c r="S253" s="978"/>
      <c r="T253" s="978"/>
      <c r="U253" s="978"/>
      <c r="V253" s="978"/>
      <c r="W253" s="978"/>
      <c r="X253" s="978"/>
      <c r="Y253" s="978"/>
      <c r="Z253" s="978"/>
      <c r="AA253" s="978"/>
      <c r="AB253" s="978"/>
      <c r="AC253" s="978"/>
    </row>
    <row r="254" spans="3:29" s="375" customFormat="1">
      <c r="C254" s="1188"/>
      <c r="D254" s="977"/>
      <c r="E254" s="977"/>
      <c r="S254" s="978"/>
      <c r="T254" s="978"/>
      <c r="U254" s="978"/>
      <c r="V254" s="978"/>
      <c r="W254" s="978"/>
      <c r="X254" s="978"/>
      <c r="Y254" s="978"/>
      <c r="Z254" s="978"/>
      <c r="AA254" s="978"/>
      <c r="AB254" s="978"/>
      <c r="AC254" s="978"/>
    </row>
    <row r="255" spans="3:29" s="375" customFormat="1">
      <c r="C255" s="1188"/>
      <c r="D255" s="977"/>
      <c r="E255" s="977"/>
      <c r="S255" s="978"/>
      <c r="T255" s="978"/>
      <c r="U255" s="978"/>
      <c r="V255" s="978"/>
      <c r="W255" s="978"/>
      <c r="X255" s="978"/>
      <c r="Y255" s="978"/>
      <c r="Z255" s="978"/>
      <c r="AA255" s="978"/>
      <c r="AB255" s="978"/>
      <c r="AC255" s="978"/>
    </row>
    <row r="256" spans="3:29" s="375" customFormat="1">
      <c r="C256" s="1188"/>
      <c r="D256" s="977"/>
      <c r="E256" s="977"/>
      <c r="S256" s="978"/>
      <c r="T256" s="978"/>
      <c r="U256" s="978"/>
      <c r="V256" s="978"/>
      <c r="W256" s="978"/>
      <c r="X256" s="978"/>
      <c r="Y256" s="978"/>
      <c r="Z256" s="978"/>
      <c r="AA256" s="978"/>
      <c r="AB256" s="978"/>
      <c r="AC256" s="978"/>
    </row>
    <row r="257" spans="3:29" s="375" customFormat="1">
      <c r="C257" s="1188"/>
      <c r="D257" s="977"/>
      <c r="E257" s="977"/>
      <c r="S257" s="978"/>
      <c r="T257" s="978"/>
      <c r="U257" s="978"/>
      <c r="V257" s="978"/>
      <c r="W257" s="978"/>
      <c r="X257" s="978"/>
      <c r="Y257" s="978"/>
      <c r="Z257" s="978"/>
      <c r="AA257" s="978"/>
      <c r="AB257" s="978"/>
      <c r="AC257" s="978"/>
    </row>
    <row r="258" spans="3:29" s="375" customFormat="1">
      <c r="C258" s="1188"/>
      <c r="D258" s="977"/>
      <c r="E258" s="977"/>
      <c r="S258" s="978"/>
      <c r="T258" s="978"/>
      <c r="U258" s="978"/>
      <c r="V258" s="978"/>
      <c r="W258" s="978"/>
      <c r="X258" s="978"/>
      <c r="Y258" s="978"/>
      <c r="Z258" s="978"/>
      <c r="AA258" s="978"/>
      <c r="AB258" s="978"/>
      <c r="AC258" s="978"/>
    </row>
    <row r="259" spans="3:29" s="375" customFormat="1">
      <c r="C259" s="1188"/>
      <c r="D259" s="977"/>
      <c r="E259" s="977"/>
      <c r="S259" s="978"/>
      <c r="T259" s="978"/>
      <c r="U259" s="978"/>
      <c r="V259" s="978"/>
      <c r="W259" s="978"/>
      <c r="X259" s="978"/>
      <c r="Y259" s="978"/>
      <c r="Z259" s="978"/>
      <c r="AA259" s="978"/>
      <c r="AB259" s="978"/>
      <c r="AC259" s="978"/>
    </row>
    <row r="260" spans="3:29" s="375" customFormat="1">
      <c r="C260" s="1188"/>
      <c r="D260" s="977"/>
      <c r="E260" s="977"/>
      <c r="S260" s="978"/>
      <c r="T260" s="978"/>
      <c r="U260" s="978"/>
      <c r="V260" s="978"/>
      <c r="W260" s="978"/>
      <c r="X260" s="978"/>
      <c r="Y260" s="978"/>
      <c r="Z260" s="978"/>
      <c r="AA260" s="978"/>
      <c r="AB260" s="978"/>
      <c r="AC260" s="978"/>
    </row>
    <row r="261" spans="3:29" s="375" customFormat="1">
      <c r="C261" s="1188"/>
      <c r="D261" s="977"/>
      <c r="E261" s="977"/>
      <c r="S261" s="978"/>
      <c r="T261" s="978"/>
      <c r="U261" s="978"/>
      <c r="V261" s="978"/>
      <c r="W261" s="978"/>
      <c r="X261" s="978"/>
      <c r="Y261" s="978"/>
      <c r="Z261" s="978"/>
      <c r="AA261" s="978"/>
      <c r="AB261" s="978"/>
      <c r="AC261" s="978"/>
    </row>
    <row r="262" spans="3:29" s="375" customFormat="1">
      <c r="C262" s="1188"/>
      <c r="D262" s="977"/>
      <c r="E262" s="977"/>
      <c r="S262" s="978"/>
      <c r="T262" s="978"/>
      <c r="U262" s="978"/>
      <c r="V262" s="978"/>
      <c r="W262" s="978"/>
      <c r="X262" s="978"/>
      <c r="Y262" s="978"/>
      <c r="Z262" s="978"/>
      <c r="AA262" s="978"/>
      <c r="AB262" s="978"/>
      <c r="AC262" s="978"/>
    </row>
    <row r="263" spans="3:29" s="375" customFormat="1">
      <c r="C263" s="1188"/>
      <c r="D263" s="977"/>
      <c r="E263" s="977"/>
      <c r="S263" s="978"/>
      <c r="T263" s="978"/>
      <c r="U263" s="978"/>
      <c r="V263" s="978"/>
      <c r="W263" s="978"/>
      <c r="X263" s="978"/>
      <c r="Y263" s="978"/>
      <c r="Z263" s="978"/>
      <c r="AA263" s="978"/>
      <c r="AB263" s="978"/>
      <c r="AC263" s="978"/>
    </row>
    <row r="264" spans="3:29" s="375" customFormat="1">
      <c r="C264" s="1188"/>
      <c r="D264" s="977"/>
      <c r="E264" s="977"/>
      <c r="S264" s="978"/>
      <c r="T264" s="978"/>
      <c r="U264" s="978"/>
      <c r="V264" s="978"/>
      <c r="W264" s="978"/>
      <c r="X264" s="978"/>
      <c r="Y264" s="978"/>
      <c r="Z264" s="978"/>
      <c r="AA264" s="978"/>
      <c r="AB264" s="978"/>
      <c r="AC264" s="978"/>
    </row>
    <row r="265" spans="3:29" s="375" customFormat="1">
      <c r="C265" s="1188"/>
      <c r="D265" s="977"/>
      <c r="E265" s="977"/>
      <c r="S265" s="978"/>
      <c r="T265" s="978"/>
      <c r="U265" s="978"/>
      <c r="V265" s="978"/>
      <c r="W265" s="978"/>
      <c r="X265" s="978"/>
      <c r="Y265" s="978"/>
      <c r="Z265" s="978"/>
      <c r="AA265" s="978"/>
      <c r="AB265" s="978"/>
      <c r="AC265" s="978"/>
    </row>
    <row r="266" spans="3:29" s="375" customFormat="1">
      <c r="C266" s="1188"/>
      <c r="D266" s="977"/>
      <c r="E266" s="977"/>
      <c r="S266" s="978"/>
      <c r="T266" s="978"/>
      <c r="U266" s="978"/>
      <c r="V266" s="978"/>
      <c r="W266" s="978"/>
      <c r="X266" s="978"/>
      <c r="Y266" s="978"/>
      <c r="Z266" s="978"/>
      <c r="AA266" s="978"/>
      <c r="AB266" s="978"/>
      <c r="AC266" s="978"/>
    </row>
    <row r="267" spans="3:29" s="375" customFormat="1">
      <c r="C267" s="1188"/>
      <c r="D267" s="977"/>
      <c r="E267" s="977"/>
      <c r="S267" s="978"/>
      <c r="T267" s="978"/>
      <c r="U267" s="978"/>
      <c r="V267" s="978"/>
      <c r="W267" s="978"/>
      <c r="X267" s="978"/>
      <c r="Y267" s="978"/>
      <c r="Z267" s="978"/>
      <c r="AA267" s="978"/>
      <c r="AB267" s="978"/>
      <c r="AC267" s="978"/>
    </row>
    <row r="268" spans="3:29" s="375" customFormat="1">
      <c r="C268" s="1188"/>
      <c r="D268" s="977"/>
      <c r="E268" s="977"/>
      <c r="S268" s="978"/>
      <c r="T268" s="978"/>
      <c r="U268" s="978"/>
      <c r="V268" s="978"/>
      <c r="W268" s="978"/>
      <c r="X268" s="978"/>
      <c r="Y268" s="978"/>
      <c r="Z268" s="978"/>
      <c r="AA268" s="978"/>
      <c r="AB268" s="978"/>
      <c r="AC268" s="978"/>
    </row>
    <row r="269" spans="3:29" s="375" customFormat="1">
      <c r="C269" s="1188"/>
      <c r="D269" s="977"/>
      <c r="E269" s="977"/>
      <c r="S269" s="978"/>
      <c r="T269" s="978"/>
      <c r="U269" s="978"/>
      <c r="V269" s="978"/>
      <c r="W269" s="978"/>
      <c r="X269" s="978"/>
      <c r="Y269" s="978"/>
      <c r="Z269" s="978"/>
      <c r="AA269" s="978"/>
      <c r="AB269" s="978"/>
      <c r="AC269" s="978"/>
    </row>
    <row r="270" spans="3:29" s="375" customFormat="1">
      <c r="C270" s="1188"/>
      <c r="D270" s="977"/>
      <c r="E270" s="977"/>
      <c r="S270" s="978"/>
      <c r="T270" s="978"/>
      <c r="U270" s="978"/>
      <c r="V270" s="978"/>
      <c r="W270" s="978"/>
      <c r="X270" s="978"/>
      <c r="Y270" s="978"/>
      <c r="Z270" s="978"/>
      <c r="AA270" s="978"/>
      <c r="AB270" s="978"/>
      <c r="AC270" s="978"/>
    </row>
    <row r="271" spans="3:29" s="375" customFormat="1">
      <c r="C271" s="1188"/>
      <c r="D271" s="977"/>
      <c r="E271" s="977"/>
      <c r="S271" s="978"/>
      <c r="T271" s="978"/>
      <c r="U271" s="978"/>
      <c r="V271" s="978"/>
      <c r="W271" s="978"/>
      <c r="X271" s="978"/>
      <c r="Y271" s="978"/>
      <c r="Z271" s="978"/>
      <c r="AA271" s="978"/>
      <c r="AB271" s="978"/>
      <c r="AC271" s="978"/>
    </row>
    <row r="272" spans="3:29" s="375" customFormat="1">
      <c r="C272" s="1188"/>
      <c r="D272" s="977"/>
      <c r="E272" s="977"/>
      <c r="S272" s="978"/>
      <c r="T272" s="978"/>
      <c r="U272" s="978"/>
      <c r="V272" s="978"/>
      <c r="W272" s="978"/>
      <c r="X272" s="978"/>
      <c r="Y272" s="978"/>
      <c r="Z272" s="978"/>
      <c r="AA272" s="978"/>
      <c r="AB272" s="978"/>
      <c r="AC272" s="978"/>
    </row>
    <row r="273" spans="3:29" s="375" customFormat="1">
      <c r="C273" s="1188"/>
      <c r="D273" s="977"/>
      <c r="E273" s="977"/>
      <c r="S273" s="978"/>
      <c r="T273" s="978"/>
      <c r="U273" s="978"/>
      <c r="V273" s="978"/>
      <c r="W273" s="978"/>
      <c r="X273" s="978"/>
      <c r="Y273" s="978"/>
      <c r="Z273" s="978"/>
      <c r="AA273" s="978"/>
      <c r="AB273" s="978"/>
      <c r="AC273" s="978"/>
    </row>
    <row r="274" spans="3:29" s="375" customFormat="1">
      <c r="C274" s="1188"/>
      <c r="D274" s="977"/>
      <c r="E274" s="977"/>
      <c r="S274" s="978"/>
      <c r="T274" s="978"/>
      <c r="U274" s="978"/>
      <c r="V274" s="978"/>
      <c r="W274" s="978"/>
      <c r="X274" s="978"/>
      <c r="Y274" s="978"/>
      <c r="Z274" s="978"/>
      <c r="AA274" s="978"/>
      <c r="AB274" s="978"/>
      <c r="AC274" s="978"/>
    </row>
    <row r="275" spans="3:29" s="375" customFormat="1">
      <c r="C275" s="1188"/>
      <c r="D275" s="977"/>
      <c r="E275" s="977"/>
      <c r="S275" s="978"/>
      <c r="T275" s="978"/>
      <c r="U275" s="978"/>
      <c r="V275" s="978"/>
      <c r="W275" s="978"/>
      <c r="X275" s="978"/>
      <c r="Y275" s="978"/>
      <c r="Z275" s="978"/>
      <c r="AA275" s="978"/>
      <c r="AB275" s="978"/>
      <c r="AC275" s="978"/>
    </row>
    <row r="276" spans="3:29" s="375" customFormat="1">
      <c r="C276" s="1188"/>
      <c r="D276" s="977"/>
      <c r="E276" s="977"/>
      <c r="S276" s="978"/>
      <c r="T276" s="978"/>
      <c r="U276" s="978"/>
      <c r="V276" s="978"/>
      <c r="W276" s="978"/>
      <c r="X276" s="978"/>
      <c r="Y276" s="978"/>
      <c r="Z276" s="978"/>
      <c r="AA276" s="978"/>
      <c r="AB276" s="978"/>
      <c r="AC276" s="978"/>
    </row>
    <row r="277" spans="3:29" s="375" customFormat="1">
      <c r="C277" s="1188"/>
      <c r="D277" s="977"/>
      <c r="E277" s="977"/>
      <c r="S277" s="978"/>
      <c r="T277" s="978"/>
      <c r="U277" s="978"/>
      <c r="V277" s="978"/>
      <c r="W277" s="978"/>
      <c r="X277" s="978"/>
      <c r="Y277" s="978"/>
      <c r="Z277" s="978"/>
      <c r="AA277" s="978"/>
      <c r="AB277" s="978"/>
      <c r="AC277" s="978"/>
    </row>
    <row r="278" spans="3:29" s="375" customFormat="1">
      <c r="C278" s="1188"/>
      <c r="D278" s="977"/>
      <c r="E278" s="977"/>
      <c r="S278" s="978"/>
      <c r="T278" s="978"/>
      <c r="U278" s="978"/>
      <c r="V278" s="978"/>
      <c r="W278" s="978"/>
      <c r="X278" s="978"/>
      <c r="Y278" s="978"/>
      <c r="Z278" s="978"/>
      <c r="AA278" s="978"/>
      <c r="AB278" s="978"/>
      <c r="AC278" s="978"/>
    </row>
    <row r="279" spans="3:29" s="375" customFormat="1">
      <c r="C279" s="1188"/>
      <c r="D279" s="977"/>
      <c r="E279" s="977"/>
      <c r="S279" s="978"/>
      <c r="T279" s="978"/>
      <c r="U279" s="978"/>
      <c r="V279" s="978"/>
      <c r="W279" s="978"/>
      <c r="X279" s="978"/>
      <c r="Y279" s="978"/>
      <c r="Z279" s="978"/>
      <c r="AA279" s="978"/>
      <c r="AB279" s="978"/>
      <c r="AC279" s="978"/>
    </row>
    <row r="280" spans="3:29" s="375" customFormat="1">
      <c r="C280" s="1188"/>
      <c r="D280" s="977"/>
      <c r="E280" s="977"/>
      <c r="S280" s="978"/>
      <c r="T280" s="978"/>
      <c r="U280" s="978"/>
      <c r="V280" s="978"/>
      <c r="W280" s="978"/>
      <c r="X280" s="978"/>
      <c r="Y280" s="978"/>
      <c r="Z280" s="978"/>
      <c r="AA280" s="978"/>
      <c r="AB280" s="978"/>
      <c r="AC280" s="978"/>
    </row>
    <row r="281" spans="3:29" s="375" customFormat="1">
      <c r="C281" s="1188"/>
      <c r="D281" s="977"/>
      <c r="E281" s="977"/>
      <c r="S281" s="978"/>
      <c r="T281" s="978"/>
      <c r="U281" s="978"/>
      <c r="V281" s="978"/>
      <c r="W281" s="978"/>
      <c r="X281" s="978"/>
      <c r="Y281" s="978"/>
      <c r="Z281" s="978"/>
      <c r="AA281" s="978"/>
      <c r="AB281" s="978"/>
      <c r="AC281" s="978"/>
    </row>
    <row r="282" spans="3:29" s="375" customFormat="1">
      <c r="C282" s="1188"/>
      <c r="D282" s="977"/>
      <c r="E282" s="977"/>
      <c r="S282" s="978"/>
      <c r="T282" s="978"/>
      <c r="U282" s="978"/>
      <c r="V282" s="978"/>
      <c r="W282" s="978"/>
      <c r="X282" s="978"/>
      <c r="Y282" s="978"/>
      <c r="Z282" s="978"/>
      <c r="AA282" s="978"/>
      <c r="AB282" s="978"/>
      <c r="AC282" s="978"/>
    </row>
    <row r="283" spans="3:29" s="375" customFormat="1">
      <c r="C283" s="1188"/>
      <c r="D283" s="977"/>
      <c r="E283" s="977"/>
      <c r="S283" s="978"/>
      <c r="T283" s="978"/>
      <c r="U283" s="978"/>
      <c r="V283" s="978"/>
      <c r="W283" s="978"/>
      <c r="X283" s="978"/>
      <c r="Y283" s="978"/>
      <c r="Z283" s="978"/>
      <c r="AA283" s="978"/>
      <c r="AB283" s="978"/>
      <c r="AC283" s="978"/>
    </row>
    <row r="284" spans="3:29" s="375" customFormat="1">
      <c r="C284" s="1188"/>
      <c r="D284" s="977"/>
      <c r="E284" s="977"/>
      <c r="S284" s="978"/>
      <c r="T284" s="978"/>
      <c r="U284" s="978"/>
      <c r="V284" s="978"/>
      <c r="W284" s="978"/>
      <c r="X284" s="978"/>
      <c r="Y284" s="978"/>
      <c r="Z284" s="978"/>
      <c r="AA284" s="978"/>
      <c r="AB284" s="978"/>
      <c r="AC284" s="978"/>
    </row>
    <row r="285" spans="3:29" s="375" customFormat="1">
      <c r="C285" s="1188"/>
      <c r="D285" s="977"/>
      <c r="E285" s="977"/>
      <c r="S285" s="978"/>
      <c r="T285" s="978"/>
      <c r="U285" s="978"/>
      <c r="V285" s="978"/>
      <c r="W285" s="978"/>
      <c r="X285" s="978"/>
      <c r="Y285" s="978"/>
      <c r="Z285" s="978"/>
      <c r="AA285" s="978"/>
      <c r="AB285" s="978"/>
      <c r="AC285" s="978"/>
    </row>
    <row r="286" spans="3:29" s="375" customFormat="1">
      <c r="C286" s="1188"/>
      <c r="D286" s="977"/>
      <c r="E286" s="977"/>
      <c r="S286" s="978"/>
      <c r="T286" s="978"/>
      <c r="U286" s="978"/>
      <c r="V286" s="978"/>
      <c r="W286" s="978"/>
      <c r="X286" s="978"/>
      <c r="Y286" s="978"/>
      <c r="Z286" s="978"/>
      <c r="AA286" s="978"/>
      <c r="AB286" s="978"/>
      <c r="AC286" s="978"/>
    </row>
    <row r="287" spans="3:29" s="375" customFormat="1">
      <c r="C287" s="1188"/>
      <c r="D287" s="977"/>
      <c r="E287" s="977"/>
      <c r="S287" s="978"/>
      <c r="T287" s="978"/>
      <c r="U287" s="978"/>
      <c r="V287" s="978"/>
      <c r="W287" s="978"/>
      <c r="X287" s="978"/>
      <c r="Y287" s="978"/>
      <c r="Z287" s="978"/>
      <c r="AA287" s="978"/>
      <c r="AB287" s="978"/>
      <c r="AC287" s="978"/>
    </row>
    <row r="288" spans="3:29" s="375" customFormat="1">
      <c r="C288" s="1188"/>
      <c r="D288" s="977"/>
      <c r="E288" s="977"/>
      <c r="S288" s="978"/>
      <c r="T288" s="978"/>
      <c r="U288" s="978"/>
      <c r="V288" s="978"/>
      <c r="W288" s="978"/>
      <c r="X288" s="978"/>
      <c r="Y288" s="978"/>
      <c r="Z288" s="978"/>
      <c r="AA288" s="978"/>
      <c r="AB288" s="978"/>
      <c r="AC288" s="978"/>
    </row>
    <row r="289" spans="3:29" s="375" customFormat="1">
      <c r="C289" s="1188"/>
      <c r="D289" s="977"/>
      <c r="E289" s="977"/>
      <c r="S289" s="978"/>
      <c r="T289" s="978"/>
      <c r="U289" s="978"/>
      <c r="V289" s="978"/>
      <c r="W289" s="978"/>
      <c r="X289" s="978"/>
      <c r="Y289" s="978"/>
      <c r="Z289" s="978"/>
      <c r="AA289" s="978"/>
      <c r="AB289" s="978"/>
      <c r="AC289" s="978"/>
    </row>
    <row r="290" spans="3:29" s="375" customFormat="1">
      <c r="C290" s="1188"/>
      <c r="D290" s="977"/>
      <c r="E290" s="977"/>
      <c r="S290" s="978"/>
      <c r="T290" s="978"/>
      <c r="U290" s="978"/>
      <c r="V290" s="978"/>
      <c r="W290" s="978"/>
      <c r="X290" s="978"/>
      <c r="Y290" s="978"/>
      <c r="Z290" s="978"/>
      <c r="AA290" s="978"/>
      <c r="AB290" s="978"/>
      <c r="AC290" s="978"/>
    </row>
    <row r="291" spans="3:29" s="375" customFormat="1">
      <c r="C291" s="1188"/>
      <c r="D291" s="977"/>
      <c r="E291" s="977"/>
      <c r="S291" s="978"/>
      <c r="T291" s="978"/>
      <c r="U291" s="978"/>
      <c r="V291" s="978"/>
      <c r="W291" s="978"/>
      <c r="X291" s="978"/>
      <c r="Y291" s="978"/>
      <c r="Z291" s="978"/>
      <c r="AA291" s="978"/>
      <c r="AB291" s="978"/>
      <c r="AC291" s="978"/>
    </row>
    <row r="292" spans="3:29" s="375" customFormat="1">
      <c r="C292" s="1188"/>
      <c r="D292" s="977"/>
      <c r="E292" s="977"/>
      <c r="S292" s="978"/>
      <c r="T292" s="978"/>
      <c r="U292" s="978"/>
      <c r="V292" s="978"/>
      <c r="W292" s="978"/>
      <c r="X292" s="978"/>
      <c r="Y292" s="978"/>
      <c r="Z292" s="978"/>
      <c r="AA292" s="978"/>
      <c r="AB292" s="978"/>
      <c r="AC292" s="978"/>
    </row>
    <row r="293" spans="3:29" s="375" customFormat="1">
      <c r="C293" s="1188"/>
      <c r="D293" s="977"/>
      <c r="E293" s="977"/>
      <c r="S293" s="978"/>
      <c r="T293" s="978"/>
      <c r="U293" s="978"/>
      <c r="V293" s="978"/>
      <c r="W293" s="978"/>
      <c r="X293" s="978"/>
      <c r="Y293" s="978"/>
      <c r="Z293" s="978"/>
      <c r="AA293" s="978"/>
      <c r="AB293" s="978"/>
      <c r="AC293" s="978"/>
    </row>
    <row r="294" spans="3:29" s="375" customFormat="1">
      <c r="C294" s="1188"/>
      <c r="D294" s="977"/>
      <c r="E294" s="977"/>
      <c r="S294" s="978"/>
      <c r="T294" s="978"/>
      <c r="U294" s="978"/>
      <c r="V294" s="978"/>
      <c r="W294" s="978"/>
      <c r="X294" s="978"/>
      <c r="Y294" s="978"/>
      <c r="Z294" s="978"/>
      <c r="AA294" s="978"/>
      <c r="AB294" s="978"/>
      <c r="AC294" s="978"/>
    </row>
    <row r="295" spans="3:29" s="375" customFormat="1">
      <c r="C295" s="1188"/>
      <c r="D295" s="977"/>
      <c r="E295" s="977"/>
      <c r="S295" s="978"/>
      <c r="T295" s="978"/>
      <c r="U295" s="978"/>
      <c r="V295" s="978"/>
      <c r="W295" s="978"/>
      <c r="X295" s="978"/>
      <c r="Y295" s="978"/>
      <c r="Z295" s="978"/>
      <c r="AA295" s="978"/>
      <c r="AB295" s="978"/>
      <c r="AC295" s="978"/>
    </row>
    <row r="296" spans="3:29" s="375" customFormat="1">
      <c r="C296" s="1188"/>
      <c r="D296" s="977"/>
      <c r="E296" s="977"/>
      <c r="S296" s="978"/>
      <c r="T296" s="978"/>
      <c r="U296" s="978"/>
      <c r="V296" s="978"/>
      <c r="W296" s="978"/>
      <c r="X296" s="978"/>
      <c r="Y296" s="978"/>
      <c r="Z296" s="978"/>
      <c r="AA296" s="978"/>
      <c r="AB296" s="978"/>
      <c r="AC296" s="978"/>
    </row>
    <row r="297" spans="3:29" s="375" customFormat="1">
      <c r="C297" s="1188"/>
      <c r="D297" s="977"/>
      <c r="E297" s="977"/>
      <c r="S297" s="978"/>
      <c r="T297" s="978"/>
      <c r="U297" s="978"/>
      <c r="V297" s="978"/>
      <c r="W297" s="978"/>
      <c r="X297" s="978"/>
      <c r="Y297" s="978"/>
      <c r="Z297" s="978"/>
      <c r="AA297" s="978"/>
      <c r="AB297" s="978"/>
      <c r="AC297" s="978"/>
    </row>
    <row r="298" spans="3:29" s="375" customFormat="1">
      <c r="C298" s="1188"/>
      <c r="D298" s="977"/>
      <c r="E298" s="977"/>
      <c r="S298" s="978"/>
      <c r="T298" s="978"/>
      <c r="U298" s="978"/>
      <c r="V298" s="978"/>
      <c r="W298" s="978"/>
      <c r="X298" s="978"/>
      <c r="Y298" s="978"/>
      <c r="Z298" s="978"/>
      <c r="AA298" s="978"/>
      <c r="AB298" s="978"/>
      <c r="AC298" s="978"/>
    </row>
    <row r="299" spans="3:29" s="375" customFormat="1">
      <c r="C299" s="1188"/>
      <c r="D299" s="977"/>
      <c r="E299" s="977"/>
      <c r="S299" s="978"/>
      <c r="T299" s="978"/>
      <c r="U299" s="978"/>
      <c r="V299" s="978"/>
      <c r="W299" s="978"/>
      <c r="X299" s="978"/>
      <c r="Y299" s="978"/>
      <c r="Z299" s="978"/>
      <c r="AA299" s="978"/>
      <c r="AB299" s="978"/>
      <c r="AC299" s="978"/>
    </row>
    <row r="300" spans="3:29" s="375" customFormat="1">
      <c r="C300" s="1188"/>
      <c r="D300" s="977"/>
      <c r="E300" s="977"/>
      <c r="S300" s="978"/>
      <c r="T300" s="978"/>
      <c r="U300" s="978"/>
      <c r="V300" s="978"/>
      <c r="W300" s="978"/>
      <c r="X300" s="978"/>
      <c r="Y300" s="978"/>
      <c r="Z300" s="978"/>
      <c r="AA300" s="978"/>
      <c r="AB300" s="978"/>
      <c r="AC300" s="978"/>
    </row>
    <row r="301" spans="3:29" s="375" customFormat="1">
      <c r="C301" s="1188"/>
      <c r="D301" s="977"/>
      <c r="E301" s="977"/>
      <c r="S301" s="978"/>
      <c r="T301" s="978"/>
      <c r="U301" s="978"/>
      <c r="V301" s="978"/>
      <c r="W301" s="978"/>
      <c r="X301" s="978"/>
      <c r="Y301" s="978"/>
      <c r="Z301" s="978"/>
      <c r="AA301" s="978"/>
      <c r="AB301" s="978"/>
      <c r="AC301" s="978"/>
    </row>
    <row r="302" spans="3:29" s="375" customFormat="1">
      <c r="C302" s="1188"/>
      <c r="D302" s="977"/>
      <c r="E302" s="977"/>
      <c r="S302" s="978"/>
      <c r="T302" s="978"/>
      <c r="U302" s="978"/>
      <c r="V302" s="978"/>
      <c r="W302" s="978"/>
      <c r="X302" s="978"/>
      <c r="Y302" s="978"/>
      <c r="Z302" s="978"/>
      <c r="AA302" s="978"/>
      <c r="AB302" s="978"/>
      <c r="AC302" s="978"/>
    </row>
    <row r="303" spans="3:29" s="375" customFormat="1">
      <c r="C303" s="1188"/>
      <c r="D303" s="977"/>
      <c r="E303" s="977"/>
      <c r="S303" s="978"/>
      <c r="T303" s="978"/>
      <c r="U303" s="978"/>
      <c r="V303" s="978"/>
      <c r="W303" s="978"/>
      <c r="X303" s="978"/>
      <c r="Y303" s="978"/>
      <c r="Z303" s="978"/>
      <c r="AA303" s="978"/>
      <c r="AB303" s="978"/>
      <c r="AC303" s="978"/>
    </row>
    <row r="304" spans="3:29" s="375" customFormat="1">
      <c r="C304" s="1188"/>
      <c r="D304" s="977"/>
      <c r="E304" s="977"/>
      <c r="S304" s="978"/>
      <c r="T304" s="978"/>
      <c r="U304" s="978"/>
      <c r="V304" s="978"/>
      <c r="W304" s="978"/>
      <c r="X304" s="978"/>
      <c r="Y304" s="978"/>
      <c r="Z304" s="978"/>
      <c r="AA304" s="978"/>
      <c r="AB304" s="978"/>
      <c r="AC304" s="978"/>
    </row>
    <row r="305" spans="3:29" s="375" customFormat="1">
      <c r="C305" s="1188"/>
      <c r="D305" s="977"/>
      <c r="E305" s="977"/>
      <c r="S305" s="978"/>
      <c r="T305" s="978"/>
      <c r="U305" s="978"/>
      <c r="V305" s="978"/>
      <c r="W305" s="978"/>
      <c r="X305" s="978"/>
      <c r="Y305" s="978"/>
      <c r="Z305" s="978"/>
      <c r="AA305" s="978"/>
      <c r="AB305" s="978"/>
      <c r="AC305" s="978"/>
    </row>
    <row r="306" spans="3:29" s="375" customFormat="1">
      <c r="C306" s="1188"/>
      <c r="D306" s="977"/>
      <c r="E306" s="977"/>
      <c r="S306" s="978"/>
      <c r="T306" s="978"/>
      <c r="U306" s="978"/>
      <c r="V306" s="978"/>
      <c r="W306" s="978"/>
      <c r="X306" s="978"/>
      <c r="Y306" s="978"/>
      <c r="Z306" s="978"/>
      <c r="AA306" s="978"/>
      <c r="AB306" s="978"/>
      <c r="AC306" s="978"/>
    </row>
    <row r="307" spans="3:29" s="375" customFormat="1">
      <c r="C307" s="1188"/>
      <c r="D307" s="977"/>
      <c r="E307" s="977"/>
      <c r="S307" s="978"/>
      <c r="T307" s="978"/>
      <c r="U307" s="978"/>
      <c r="V307" s="978"/>
      <c r="W307" s="978"/>
      <c r="X307" s="978"/>
      <c r="Y307" s="978"/>
      <c r="Z307" s="978"/>
      <c r="AA307" s="978"/>
      <c r="AB307" s="978"/>
      <c r="AC307" s="978"/>
    </row>
    <row r="308" spans="3:29" s="375" customFormat="1">
      <c r="C308" s="1188"/>
      <c r="D308" s="977"/>
      <c r="E308" s="977"/>
      <c r="S308" s="978"/>
      <c r="T308" s="978"/>
      <c r="U308" s="978"/>
      <c r="V308" s="978"/>
      <c r="W308" s="978"/>
      <c r="X308" s="978"/>
      <c r="Y308" s="978"/>
      <c r="Z308" s="978"/>
      <c r="AA308" s="978"/>
      <c r="AB308" s="978"/>
      <c r="AC308" s="978"/>
    </row>
    <row r="309" spans="3:29" s="375" customFormat="1">
      <c r="C309" s="1188"/>
      <c r="D309" s="977"/>
      <c r="E309" s="977"/>
      <c r="S309" s="978"/>
      <c r="T309" s="978"/>
      <c r="U309" s="978"/>
      <c r="V309" s="978"/>
      <c r="W309" s="978"/>
      <c r="X309" s="978"/>
      <c r="Y309" s="978"/>
      <c r="Z309" s="978"/>
      <c r="AA309" s="978"/>
      <c r="AB309" s="978"/>
      <c r="AC309" s="978"/>
    </row>
    <row r="310" spans="3:29" s="375" customFormat="1">
      <c r="C310" s="1188"/>
      <c r="D310" s="977"/>
      <c r="E310" s="977"/>
      <c r="S310" s="978"/>
      <c r="T310" s="978"/>
      <c r="U310" s="978"/>
      <c r="V310" s="978"/>
      <c r="W310" s="978"/>
      <c r="X310" s="978"/>
      <c r="Y310" s="978"/>
      <c r="Z310" s="978"/>
      <c r="AA310" s="978"/>
      <c r="AB310" s="978"/>
      <c r="AC310" s="978"/>
    </row>
    <row r="311" spans="3:29" s="375" customFormat="1">
      <c r="C311" s="1188"/>
      <c r="D311" s="977"/>
      <c r="E311" s="977"/>
      <c r="S311" s="978"/>
      <c r="T311" s="978"/>
      <c r="U311" s="978"/>
      <c r="V311" s="978"/>
      <c r="W311" s="978"/>
      <c r="X311" s="978"/>
      <c r="Y311" s="978"/>
      <c r="Z311" s="978"/>
      <c r="AA311" s="978"/>
      <c r="AB311" s="978"/>
      <c r="AC311" s="978"/>
    </row>
    <row r="312" spans="3:29" s="375" customFormat="1">
      <c r="C312" s="1188"/>
      <c r="D312" s="977"/>
      <c r="E312" s="977"/>
      <c r="S312" s="978"/>
      <c r="T312" s="978"/>
      <c r="U312" s="978"/>
      <c r="V312" s="978"/>
      <c r="W312" s="978"/>
      <c r="X312" s="978"/>
      <c r="Y312" s="978"/>
      <c r="Z312" s="978"/>
      <c r="AA312" s="978"/>
      <c r="AB312" s="978"/>
      <c r="AC312" s="978"/>
    </row>
    <row r="313" spans="3:29" s="375" customFormat="1">
      <c r="C313" s="1188"/>
      <c r="D313" s="977"/>
      <c r="E313" s="977"/>
      <c r="S313" s="978"/>
      <c r="T313" s="978"/>
      <c r="U313" s="978"/>
      <c r="V313" s="978"/>
      <c r="W313" s="978"/>
      <c r="X313" s="978"/>
      <c r="Y313" s="978"/>
      <c r="Z313" s="978"/>
      <c r="AA313" s="978"/>
      <c r="AB313" s="978"/>
      <c r="AC313" s="978"/>
    </row>
    <row r="314" spans="3:29" s="375" customFormat="1">
      <c r="C314" s="1188"/>
      <c r="D314" s="977"/>
      <c r="E314" s="977"/>
      <c r="S314" s="978"/>
      <c r="T314" s="978"/>
      <c r="U314" s="978"/>
      <c r="V314" s="978"/>
      <c r="W314" s="978"/>
      <c r="X314" s="978"/>
      <c r="Y314" s="978"/>
      <c r="Z314" s="978"/>
      <c r="AA314" s="978"/>
      <c r="AB314" s="978"/>
      <c r="AC314" s="978"/>
    </row>
    <row r="315" spans="3:29" s="375" customFormat="1">
      <c r="C315" s="1188"/>
      <c r="D315" s="977"/>
      <c r="E315" s="977"/>
      <c r="S315" s="978"/>
      <c r="T315" s="978"/>
      <c r="U315" s="978"/>
      <c r="V315" s="978"/>
      <c r="W315" s="978"/>
      <c r="X315" s="978"/>
      <c r="Y315" s="978"/>
      <c r="Z315" s="978"/>
      <c r="AA315" s="978"/>
      <c r="AB315" s="978"/>
      <c r="AC315" s="978"/>
    </row>
    <row r="316" spans="3:29" s="375" customFormat="1">
      <c r="C316" s="1188"/>
      <c r="D316" s="977"/>
      <c r="E316" s="977"/>
      <c r="S316" s="978"/>
      <c r="T316" s="978"/>
      <c r="U316" s="978"/>
      <c r="V316" s="978"/>
      <c r="W316" s="978"/>
      <c r="X316" s="978"/>
      <c r="Y316" s="978"/>
      <c r="Z316" s="978"/>
      <c r="AA316" s="978"/>
      <c r="AB316" s="978"/>
      <c r="AC316" s="978"/>
    </row>
    <row r="317" spans="3:29" s="375" customFormat="1">
      <c r="C317" s="1188"/>
      <c r="D317" s="977"/>
      <c r="E317" s="977"/>
      <c r="S317" s="978"/>
      <c r="T317" s="978"/>
      <c r="U317" s="978"/>
      <c r="V317" s="978"/>
      <c r="W317" s="978"/>
      <c r="X317" s="978"/>
      <c r="Y317" s="978"/>
      <c r="Z317" s="978"/>
      <c r="AA317" s="978"/>
      <c r="AB317" s="978"/>
      <c r="AC317" s="978"/>
    </row>
    <row r="318" spans="3:29" s="375" customFormat="1">
      <c r="C318" s="1188"/>
      <c r="D318" s="977"/>
      <c r="E318" s="977"/>
      <c r="S318" s="978"/>
      <c r="T318" s="978"/>
      <c r="U318" s="978"/>
      <c r="V318" s="978"/>
      <c r="W318" s="978"/>
      <c r="X318" s="978"/>
      <c r="Y318" s="978"/>
      <c r="Z318" s="978"/>
      <c r="AA318" s="978"/>
      <c r="AB318" s="978"/>
      <c r="AC318" s="978"/>
    </row>
    <row r="319" spans="3:29" s="375" customFormat="1">
      <c r="C319" s="1188"/>
      <c r="D319" s="977"/>
      <c r="E319" s="977"/>
      <c r="S319" s="978"/>
      <c r="T319" s="978"/>
      <c r="U319" s="978"/>
      <c r="V319" s="978"/>
      <c r="W319" s="978"/>
      <c r="X319" s="978"/>
      <c r="Y319" s="978"/>
      <c r="Z319" s="978"/>
      <c r="AA319" s="978"/>
      <c r="AB319" s="978"/>
      <c r="AC319" s="978"/>
    </row>
    <row r="320" spans="3:29" s="375" customFormat="1">
      <c r="C320" s="1188"/>
      <c r="D320" s="977"/>
      <c r="E320" s="977"/>
      <c r="S320" s="978"/>
      <c r="T320" s="978"/>
      <c r="U320" s="978"/>
      <c r="V320" s="978"/>
      <c r="W320" s="978"/>
      <c r="X320" s="978"/>
      <c r="Y320" s="978"/>
      <c r="Z320" s="978"/>
      <c r="AA320" s="978"/>
      <c r="AB320" s="978"/>
      <c r="AC320" s="978"/>
    </row>
    <row r="321" spans="3:29" s="375" customFormat="1">
      <c r="C321" s="1188"/>
      <c r="D321" s="977"/>
      <c r="E321" s="977"/>
      <c r="S321" s="978"/>
      <c r="T321" s="978"/>
      <c r="U321" s="978"/>
      <c r="V321" s="978"/>
      <c r="W321" s="978"/>
      <c r="X321" s="978"/>
      <c r="Y321" s="978"/>
      <c r="Z321" s="978"/>
      <c r="AA321" s="978"/>
      <c r="AB321" s="978"/>
      <c r="AC321" s="978"/>
    </row>
    <row r="322" spans="3:29" s="375" customFormat="1">
      <c r="C322" s="1188"/>
      <c r="D322" s="977"/>
      <c r="E322" s="977"/>
      <c r="S322" s="978"/>
      <c r="T322" s="978"/>
      <c r="U322" s="978"/>
      <c r="V322" s="978"/>
      <c r="W322" s="978"/>
      <c r="X322" s="978"/>
      <c r="Y322" s="978"/>
      <c r="Z322" s="978"/>
      <c r="AA322" s="978"/>
      <c r="AB322" s="978"/>
      <c r="AC322" s="978"/>
    </row>
    <row r="323" spans="3:29" s="375" customFormat="1">
      <c r="C323" s="1188"/>
      <c r="D323" s="977"/>
      <c r="E323" s="977"/>
      <c r="S323" s="978"/>
      <c r="T323" s="978"/>
      <c r="U323" s="978"/>
      <c r="V323" s="978"/>
      <c r="W323" s="978"/>
      <c r="X323" s="978"/>
      <c r="Y323" s="978"/>
      <c r="Z323" s="978"/>
      <c r="AA323" s="978"/>
      <c r="AB323" s="978"/>
      <c r="AC323" s="978"/>
    </row>
    <row r="324" spans="3:29" s="375" customFormat="1">
      <c r="C324" s="1188"/>
      <c r="D324" s="977"/>
      <c r="E324" s="977"/>
      <c r="S324" s="978"/>
      <c r="T324" s="978"/>
      <c r="U324" s="978"/>
      <c r="V324" s="978"/>
      <c r="W324" s="978"/>
      <c r="X324" s="978"/>
      <c r="Y324" s="978"/>
      <c r="Z324" s="978"/>
      <c r="AA324" s="978"/>
      <c r="AB324" s="978"/>
      <c r="AC324" s="978"/>
    </row>
    <row r="325" spans="3:29" s="375" customFormat="1">
      <c r="C325" s="1188"/>
      <c r="D325" s="977"/>
      <c r="E325" s="977"/>
      <c r="S325" s="978"/>
      <c r="T325" s="978"/>
      <c r="U325" s="978"/>
      <c r="V325" s="978"/>
      <c r="W325" s="978"/>
      <c r="X325" s="978"/>
      <c r="Y325" s="978"/>
      <c r="Z325" s="978"/>
      <c r="AA325" s="978"/>
      <c r="AB325" s="978"/>
      <c r="AC325" s="978"/>
    </row>
    <row r="326" spans="3:29" s="375" customFormat="1">
      <c r="C326" s="1188"/>
      <c r="D326" s="977"/>
      <c r="E326" s="977"/>
      <c r="S326" s="978"/>
      <c r="T326" s="978"/>
      <c r="U326" s="978"/>
      <c r="V326" s="978"/>
      <c r="W326" s="978"/>
      <c r="X326" s="978"/>
      <c r="Y326" s="978"/>
      <c r="Z326" s="978"/>
      <c r="AA326" s="978"/>
      <c r="AB326" s="978"/>
      <c r="AC326" s="978"/>
    </row>
    <row r="327" spans="3:29" s="375" customFormat="1">
      <c r="C327" s="1188"/>
      <c r="D327" s="977"/>
      <c r="E327" s="977"/>
      <c r="S327" s="978"/>
      <c r="T327" s="978"/>
      <c r="U327" s="978"/>
      <c r="V327" s="978"/>
      <c r="W327" s="978"/>
      <c r="X327" s="978"/>
      <c r="Y327" s="978"/>
      <c r="Z327" s="978"/>
      <c r="AA327" s="978"/>
      <c r="AB327" s="978"/>
      <c r="AC327" s="978"/>
    </row>
    <row r="328" spans="3:29" s="375" customFormat="1">
      <c r="C328" s="1188"/>
      <c r="D328" s="977"/>
      <c r="E328" s="977"/>
      <c r="S328" s="978"/>
      <c r="T328" s="978"/>
      <c r="U328" s="978"/>
      <c r="V328" s="978"/>
      <c r="W328" s="978"/>
      <c r="X328" s="978"/>
      <c r="Y328" s="978"/>
      <c r="Z328" s="978"/>
      <c r="AA328" s="978"/>
      <c r="AB328" s="978"/>
      <c r="AC328" s="978"/>
    </row>
    <row r="329" spans="3:29" s="375" customFormat="1">
      <c r="C329" s="1188"/>
      <c r="D329" s="977"/>
      <c r="E329" s="977"/>
      <c r="S329" s="978"/>
      <c r="T329" s="978"/>
      <c r="U329" s="978"/>
      <c r="V329" s="978"/>
      <c r="W329" s="978"/>
      <c r="X329" s="978"/>
      <c r="Y329" s="978"/>
      <c r="Z329" s="978"/>
      <c r="AA329" s="978"/>
      <c r="AB329" s="978"/>
      <c r="AC329" s="978"/>
    </row>
    <row r="330" spans="3:29" s="375" customFormat="1">
      <c r="C330" s="1188"/>
      <c r="D330" s="977"/>
      <c r="E330" s="977"/>
      <c r="S330" s="978"/>
      <c r="T330" s="978"/>
      <c r="U330" s="978"/>
      <c r="V330" s="978"/>
      <c r="W330" s="978"/>
      <c r="X330" s="978"/>
      <c r="Y330" s="978"/>
      <c r="Z330" s="978"/>
      <c r="AA330" s="978"/>
      <c r="AB330" s="978"/>
      <c r="AC330" s="978"/>
    </row>
    <row r="331" spans="3:29" s="375" customFormat="1">
      <c r="C331" s="1188"/>
      <c r="D331" s="977"/>
      <c r="E331" s="977"/>
      <c r="S331" s="978"/>
      <c r="T331" s="978"/>
      <c r="U331" s="978"/>
      <c r="V331" s="978"/>
      <c r="W331" s="978"/>
      <c r="X331" s="978"/>
      <c r="Y331" s="978"/>
      <c r="Z331" s="978"/>
      <c r="AA331" s="978"/>
      <c r="AB331" s="978"/>
      <c r="AC331" s="978"/>
    </row>
    <row r="332" spans="3:29" s="375" customFormat="1">
      <c r="C332" s="1188"/>
      <c r="D332" s="977"/>
      <c r="E332" s="977"/>
      <c r="S332" s="978"/>
      <c r="T332" s="978"/>
      <c r="U332" s="978"/>
      <c r="V332" s="978"/>
      <c r="W332" s="978"/>
      <c r="X332" s="978"/>
      <c r="Y332" s="978"/>
      <c r="Z332" s="978"/>
      <c r="AA332" s="978"/>
      <c r="AB332" s="978"/>
      <c r="AC332" s="978"/>
    </row>
    <row r="333" spans="3:29" s="375" customFormat="1">
      <c r="C333" s="1188"/>
      <c r="D333" s="977"/>
      <c r="E333" s="977"/>
      <c r="S333" s="978"/>
      <c r="T333" s="978"/>
      <c r="U333" s="978"/>
      <c r="V333" s="978"/>
      <c r="W333" s="978"/>
      <c r="X333" s="978"/>
      <c r="Y333" s="978"/>
      <c r="Z333" s="978"/>
      <c r="AA333" s="978"/>
      <c r="AB333" s="978"/>
      <c r="AC333" s="978"/>
    </row>
    <row r="334" spans="3:29" s="375" customFormat="1">
      <c r="C334" s="1188"/>
      <c r="D334" s="977"/>
      <c r="E334" s="977"/>
      <c r="S334" s="978"/>
      <c r="T334" s="978"/>
      <c r="U334" s="978"/>
      <c r="V334" s="978"/>
      <c r="W334" s="978"/>
      <c r="X334" s="978"/>
      <c r="Y334" s="978"/>
      <c r="Z334" s="978"/>
      <c r="AA334" s="978"/>
      <c r="AB334" s="978"/>
      <c r="AC334" s="978"/>
    </row>
    <row r="335" spans="3:29" s="375" customFormat="1">
      <c r="C335" s="1188"/>
      <c r="D335" s="977"/>
      <c r="E335" s="977"/>
      <c r="S335" s="978"/>
      <c r="T335" s="978"/>
      <c r="U335" s="978"/>
      <c r="V335" s="978"/>
      <c r="W335" s="978"/>
      <c r="X335" s="978"/>
      <c r="Y335" s="978"/>
      <c r="Z335" s="978"/>
      <c r="AA335" s="978"/>
      <c r="AB335" s="978"/>
      <c r="AC335" s="978"/>
    </row>
    <row r="336" spans="3:29" s="375" customFormat="1">
      <c r="C336" s="1188"/>
      <c r="D336" s="977"/>
      <c r="E336" s="977"/>
      <c r="S336" s="978"/>
      <c r="T336" s="978"/>
      <c r="U336" s="978"/>
      <c r="V336" s="978"/>
      <c r="W336" s="978"/>
      <c r="X336" s="978"/>
      <c r="Y336" s="978"/>
      <c r="Z336" s="978"/>
      <c r="AA336" s="978"/>
      <c r="AB336" s="978"/>
      <c r="AC336" s="978"/>
    </row>
    <row r="337" spans="3:29" s="375" customFormat="1">
      <c r="C337" s="1188"/>
      <c r="D337" s="977"/>
      <c r="E337" s="977"/>
      <c r="S337" s="978"/>
      <c r="T337" s="978"/>
      <c r="U337" s="978"/>
      <c r="V337" s="978"/>
      <c r="W337" s="978"/>
      <c r="X337" s="978"/>
      <c r="Y337" s="978"/>
      <c r="Z337" s="978"/>
      <c r="AA337" s="978"/>
      <c r="AB337" s="978"/>
      <c r="AC337" s="978"/>
    </row>
    <row r="338" spans="3:29" s="375" customFormat="1">
      <c r="C338" s="1188"/>
      <c r="D338" s="977"/>
      <c r="E338" s="977"/>
      <c r="S338" s="978"/>
      <c r="T338" s="978"/>
      <c r="U338" s="978"/>
      <c r="V338" s="978"/>
      <c r="W338" s="978"/>
      <c r="X338" s="978"/>
      <c r="Y338" s="978"/>
      <c r="Z338" s="978"/>
      <c r="AA338" s="978"/>
      <c r="AB338" s="978"/>
      <c r="AC338" s="978"/>
    </row>
    <row r="339" spans="3:29" s="375" customFormat="1">
      <c r="C339" s="1188"/>
      <c r="D339" s="977"/>
      <c r="E339" s="977"/>
      <c r="S339" s="978"/>
      <c r="T339" s="978"/>
      <c r="U339" s="978"/>
      <c r="V339" s="978"/>
      <c r="W339" s="978"/>
      <c r="X339" s="978"/>
      <c r="Y339" s="978"/>
      <c r="Z339" s="978"/>
      <c r="AA339" s="978"/>
      <c r="AB339" s="978"/>
      <c r="AC339" s="978"/>
    </row>
    <row r="340" spans="3:29" s="375" customFormat="1">
      <c r="C340" s="1188"/>
      <c r="D340" s="977"/>
      <c r="E340" s="977"/>
      <c r="S340" s="978"/>
      <c r="T340" s="978"/>
      <c r="U340" s="978"/>
      <c r="V340" s="978"/>
      <c r="W340" s="978"/>
      <c r="X340" s="978"/>
      <c r="Y340" s="978"/>
      <c r="Z340" s="978"/>
      <c r="AA340" s="978"/>
      <c r="AB340" s="978"/>
      <c r="AC340" s="978"/>
    </row>
    <row r="341" spans="3:29" s="375" customFormat="1">
      <c r="C341" s="1188"/>
      <c r="D341" s="977"/>
      <c r="E341" s="977"/>
      <c r="S341" s="978"/>
      <c r="T341" s="978"/>
      <c r="U341" s="978"/>
      <c r="V341" s="978"/>
      <c r="W341" s="978"/>
      <c r="X341" s="978"/>
      <c r="Y341" s="978"/>
      <c r="Z341" s="978"/>
      <c r="AA341" s="978"/>
      <c r="AB341" s="978"/>
      <c r="AC341" s="978"/>
    </row>
    <row r="342" spans="3:29" s="375" customFormat="1">
      <c r="C342" s="1188"/>
      <c r="D342" s="977"/>
      <c r="E342" s="977"/>
      <c r="S342" s="978"/>
      <c r="T342" s="978"/>
      <c r="U342" s="978"/>
      <c r="V342" s="978"/>
      <c r="W342" s="978"/>
      <c r="X342" s="978"/>
      <c r="Y342" s="978"/>
      <c r="Z342" s="978"/>
      <c r="AA342" s="978"/>
      <c r="AB342" s="978"/>
      <c r="AC342" s="978"/>
    </row>
    <row r="343" spans="3:29" s="375" customFormat="1">
      <c r="C343" s="1188"/>
      <c r="D343" s="977"/>
      <c r="E343" s="977"/>
      <c r="S343" s="978"/>
      <c r="T343" s="978"/>
      <c r="U343" s="978"/>
      <c r="V343" s="978"/>
      <c r="W343" s="978"/>
      <c r="X343" s="978"/>
      <c r="Y343" s="978"/>
      <c r="Z343" s="978"/>
      <c r="AA343" s="978"/>
      <c r="AB343" s="978"/>
      <c r="AC343" s="978"/>
    </row>
    <row r="344" spans="3:29" s="375" customFormat="1">
      <c r="C344" s="1188"/>
      <c r="D344" s="977"/>
      <c r="E344" s="977"/>
      <c r="S344" s="978"/>
      <c r="T344" s="978"/>
      <c r="U344" s="978"/>
      <c r="V344" s="978"/>
      <c r="W344" s="978"/>
      <c r="X344" s="978"/>
      <c r="Y344" s="978"/>
      <c r="Z344" s="978"/>
      <c r="AA344" s="978"/>
      <c r="AB344" s="978"/>
      <c r="AC344" s="978"/>
    </row>
    <row r="345" spans="3:29" s="375" customFormat="1">
      <c r="C345" s="1188"/>
      <c r="D345" s="977"/>
      <c r="E345" s="977"/>
      <c r="S345" s="978"/>
      <c r="T345" s="978"/>
      <c r="U345" s="978"/>
      <c r="V345" s="978"/>
      <c r="W345" s="978"/>
      <c r="X345" s="978"/>
      <c r="Y345" s="978"/>
      <c r="Z345" s="978"/>
      <c r="AA345" s="978"/>
      <c r="AB345" s="978"/>
      <c r="AC345" s="978"/>
    </row>
    <row r="346" spans="3:29" s="375" customFormat="1">
      <c r="C346" s="1188"/>
      <c r="D346" s="977"/>
      <c r="E346" s="977"/>
      <c r="S346" s="978"/>
      <c r="T346" s="978"/>
      <c r="U346" s="978"/>
      <c r="V346" s="978"/>
      <c r="W346" s="978"/>
      <c r="X346" s="978"/>
      <c r="Y346" s="978"/>
      <c r="Z346" s="978"/>
      <c r="AA346" s="978"/>
      <c r="AB346" s="978"/>
      <c r="AC346" s="978"/>
    </row>
    <row r="347" spans="3:29" s="375" customFormat="1">
      <c r="C347" s="1188"/>
      <c r="D347" s="977"/>
      <c r="E347" s="977"/>
      <c r="S347" s="978"/>
      <c r="T347" s="978"/>
      <c r="U347" s="978"/>
      <c r="V347" s="978"/>
      <c r="W347" s="978"/>
      <c r="X347" s="978"/>
      <c r="Y347" s="978"/>
      <c r="Z347" s="978"/>
      <c r="AA347" s="978"/>
      <c r="AB347" s="978"/>
      <c r="AC347" s="978"/>
    </row>
    <row r="348" spans="3:29" s="375" customFormat="1">
      <c r="C348" s="1188"/>
      <c r="D348" s="977"/>
      <c r="E348" s="977"/>
      <c r="S348" s="978"/>
      <c r="T348" s="978"/>
      <c r="U348" s="978"/>
      <c r="V348" s="978"/>
      <c r="W348" s="978"/>
      <c r="X348" s="978"/>
      <c r="Y348" s="978"/>
      <c r="Z348" s="978"/>
      <c r="AA348" s="978"/>
      <c r="AB348" s="978"/>
      <c r="AC348" s="978"/>
    </row>
    <row r="349" spans="3:29" s="375" customFormat="1">
      <c r="C349" s="1188"/>
      <c r="D349" s="977"/>
      <c r="E349" s="977"/>
      <c r="S349" s="978"/>
      <c r="T349" s="978"/>
      <c r="U349" s="978"/>
      <c r="V349" s="978"/>
      <c r="W349" s="978"/>
      <c r="X349" s="978"/>
      <c r="Y349" s="978"/>
      <c r="Z349" s="978"/>
      <c r="AA349" s="978"/>
      <c r="AB349" s="978"/>
      <c r="AC349" s="978"/>
    </row>
    <row r="350" spans="3:29" s="375" customFormat="1">
      <c r="C350" s="1188"/>
      <c r="D350" s="977"/>
      <c r="E350" s="977"/>
      <c r="S350" s="978"/>
      <c r="T350" s="978"/>
      <c r="U350" s="978"/>
      <c r="V350" s="978"/>
      <c r="W350" s="978"/>
      <c r="X350" s="978"/>
      <c r="Y350" s="978"/>
      <c r="Z350" s="978"/>
      <c r="AA350" s="978"/>
      <c r="AB350" s="978"/>
      <c r="AC350" s="978"/>
    </row>
    <row r="351" spans="3:29" s="375" customFormat="1">
      <c r="C351" s="1188"/>
      <c r="D351" s="977"/>
      <c r="E351" s="977"/>
      <c r="S351" s="978"/>
      <c r="T351" s="978"/>
      <c r="U351" s="978"/>
      <c r="V351" s="978"/>
      <c r="W351" s="978"/>
      <c r="X351" s="978"/>
      <c r="Y351" s="978"/>
      <c r="Z351" s="978"/>
      <c r="AA351" s="978"/>
      <c r="AB351" s="978"/>
      <c r="AC351" s="978"/>
    </row>
    <row r="352" spans="3:29" s="375" customFormat="1">
      <c r="C352" s="1188"/>
      <c r="D352" s="977"/>
      <c r="E352" s="977"/>
      <c r="S352" s="978"/>
      <c r="T352" s="978"/>
      <c r="U352" s="978"/>
      <c r="V352" s="978"/>
      <c r="W352" s="978"/>
      <c r="X352" s="978"/>
      <c r="Y352" s="978"/>
      <c r="Z352" s="978"/>
      <c r="AA352" s="978"/>
      <c r="AB352" s="978"/>
      <c r="AC352" s="978"/>
    </row>
    <row r="353" spans="3:29" s="375" customFormat="1">
      <c r="C353" s="1188"/>
      <c r="D353" s="977"/>
      <c r="E353" s="977"/>
      <c r="S353" s="978"/>
      <c r="T353" s="978"/>
      <c r="U353" s="978"/>
      <c r="V353" s="978"/>
      <c r="W353" s="978"/>
      <c r="X353" s="978"/>
      <c r="Y353" s="978"/>
      <c r="Z353" s="978"/>
      <c r="AA353" s="978"/>
      <c r="AB353" s="978"/>
      <c r="AC353" s="978"/>
    </row>
    <row r="354" spans="3:29" s="375" customFormat="1">
      <c r="C354" s="1188"/>
      <c r="D354" s="977"/>
      <c r="E354" s="977"/>
      <c r="S354" s="978"/>
      <c r="T354" s="978"/>
      <c r="U354" s="978"/>
      <c r="V354" s="978"/>
      <c r="W354" s="978"/>
      <c r="X354" s="978"/>
      <c r="Y354" s="978"/>
      <c r="Z354" s="978"/>
      <c r="AA354" s="978"/>
      <c r="AB354" s="978"/>
      <c r="AC354" s="978"/>
    </row>
    <row r="355" spans="3:29" s="375" customFormat="1">
      <c r="C355" s="1188"/>
      <c r="D355" s="977"/>
      <c r="E355" s="977"/>
      <c r="S355" s="978"/>
      <c r="T355" s="978"/>
      <c r="U355" s="978"/>
      <c r="V355" s="978"/>
      <c r="W355" s="978"/>
      <c r="X355" s="978"/>
      <c r="Y355" s="978"/>
      <c r="Z355" s="978"/>
      <c r="AA355" s="978"/>
      <c r="AB355" s="978"/>
      <c r="AC355" s="978"/>
    </row>
    <row r="356" spans="3:29" s="375" customFormat="1">
      <c r="C356" s="1188"/>
      <c r="D356" s="977"/>
      <c r="E356" s="977"/>
      <c r="S356" s="978"/>
      <c r="T356" s="978"/>
      <c r="U356" s="978"/>
      <c r="V356" s="978"/>
      <c r="W356" s="978"/>
      <c r="X356" s="978"/>
      <c r="Y356" s="978"/>
      <c r="Z356" s="978"/>
      <c r="AA356" s="978"/>
      <c r="AB356" s="978"/>
      <c r="AC356" s="978"/>
    </row>
    <row r="357" spans="3:29" s="375" customFormat="1">
      <c r="C357" s="1188"/>
      <c r="D357" s="977"/>
      <c r="E357" s="977"/>
      <c r="S357" s="978"/>
      <c r="T357" s="978"/>
      <c r="U357" s="978"/>
      <c r="V357" s="978"/>
      <c r="W357" s="978"/>
      <c r="X357" s="978"/>
      <c r="Y357" s="978"/>
      <c r="Z357" s="978"/>
      <c r="AA357" s="978"/>
      <c r="AB357" s="978"/>
      <c r="AC357" s="978"/>
    </row>
    <row r="358" spans="3:29" s="375" customFormat="1">
      <c r="C358" s="1188"/>
      <c r="D358" s="977"/>
      <c r="E358" s="977"/>
      <c r="S358" s="978"/>
      <c r="T358" s="978"/>
      <c r="U358" s="978"/>
      <c r="V358" s="978"/>
      <c r="W358" s="978"/>
      <c r="X358" s="978"/>
      <c r="Y358" s="978"/>
      <c r="Z358" s="978"/>
      <c r="AA358" s="978"/>
      <c r="AB358" s="978"/>
      <c r="AC358" s="978"/>
    </row>
    <row r="359" spans="3:29" s="375" customFormat="1">
      <c r="C359" s="1188"/>
      <c r="D359" s="977"/>
      <c r="E359" s="977"/>
      <c r="S359" s="978"/>
      <c r="T359" s="978"/>
      <c r="U359" s="978"/>
      <c r="V359" s="978"/>
      <c r="W359" s="978"/>
      <c r="X359" s="978"/>
      <c r="Y359" s="978"/>
      <c r="Z359" s="978"/>
      <c r="AA359" s="978"/>
      <c r="AB359" s="978"/>
      <c r="AC359" s="978"/>
    </row>
    <row r="360" spans="3:29" s="375" customFormat="1">
      <c r="C360" s="1188"/>
      <c r="D360" s="977"/>
      <c r="E360" s="977"/>
      <c r="S360" s="978"/>
      <c r="T360" s="978"/>
      <c r="U360" s="978"/>
      <c r="V360" s="978"/>
      <c r="W360" s="978"/>
      <c r="X360" s="978"/>
      <c r="Y360" s="978"/>
      <c r="Z360" s="978"/>
      <c r="AA360" s="978"/>
      <c r="AB360" s="978"/>
      <c r="AC360" s="978"/>
    </row>
    <row r="361" spans="3:29" s="375" customFormat="1">
      <c r="C361" s="1188"/>
      <c r="D361" s="977"/>
      <c r="E361" s="977"/>
      <c r="S361" s="978"/>
      <c r="T361" s="978"/>
      <c r="U361" s="978"/>
      <c r="V361" s="978"/>
      <c r="W361" s="978"/>
      <c r="X361" s="978"/>
      <c r="Y361" s="978"/>
      <c r="Z361" s="978"/>
      <c r="AA361" s="978"/>
      <c r="AB361" s="978"/>
      <c r="AC361" s="978"/>
    </row>
    <row r="362" spans="3:29" s="375" customFormat="1">
      <c r="C362" s="1188"/>
      <c r="D362" s="977"/>
      <c r="E362" s="977"/>
      <c r="S362" s="978"/>
      <c r="T362" s="978"/>
      <c r="U362" s="978"/>
      <c r="V362" s="978"/>
      <c r="W362" s="978"/>
      <c r="X362" s="978"/>
      <c r="Y362" s="978"/>
      <c r="Z362" s="978"/>
      <c r="AA362" s="978"/>
      <c r="AB362" s="978"/>
      <c r="AC362" s="978"/>
    </row>
    <row r="363" spans="3:29" s="375" customFormat="1">
      <c r="C363" s="1188"/>
      <c r="D363" s="977"/>
      <c r="E363" s="977"/>
      <c r="S363" s="978"/>
      <c r="T363" s="978"/>
      <c r="U363" s="978"/>
      <c r="V363" s="978"/>
      <c r="W363" s="978"/>
      <c r="X363" s="978"/>
      <c r="Y363" s="978"/>
      <c r="Z363" s="978"/>
      <c r="AA363" s="978"/>
      <c r="AB363" s="978"/>
      <c r="AC363" s="978"/>
    </row>
    <row r="364" spans="3:29" s="375" customFormat="1">
      <c r="C364" s="1188"/>
      <c r="D364" s="977"/>
      <c r="E364" s="977"/>
      <c r="S364" s="978"/>
      <c r="T364" s="978"/>
      <c r="U364" s="978"/>
      <c r="V364" s="978"/>
      <c r="W364" s="978"/>
      <c r="X364" s="978"/>
      <c r="Y364" s="978"/>
      <c r="Z364" s="978"/>
      <c r="AA364" s="978"/>
      <c r="AB364" s="978"/>
      <c r="AC364" s="978"/>
    </row>
    <row r="365" spans="3:29" s="375" customFormat="1">
      <c r="C365" s="1188"/>
      <c r="D365" s="977"/>
      <c r="E365" s="977"/>
      <c r="S365" s="978"/>
      <c r="T365" s="978"/>
      <c r="U365" s="978"/>
      <c r="V365" s="978"/>
      <c r="W365" s="978"/>
      <c r="X365" s="978"/>
      <c r="Y365" s="978"/>
      <c r="Z365" s="978"/>
      <c r="AA365" s="978"/>
      <c r="AB365" s="978"/>
      <c r="AC365" s="978"/>
    </row>
    <row r="366" spans="3:29" s="375" customFormat="1">
      <c r="C366" s="1188"/>
      <c r="D366" s="977"/>
      <c r="E366" s="977"/>
      <c r="S366" s="978"/>
      <c r="T366" s="978"/>
      <c r="U366" s="978"/>
      <c r="V366" s="978"/>
      <c r="W366" s="978"/>
      <c r="X366" s="978"/>
      <c r="Y366" s="978"/>
      <c r="Z366" s="978"/>
      <c r="AA366" s="978"/>
      <c r="AB366" s="978"/>
      <c r="AC366" s="978"/>
    </row>
    <row r="367" spans="3:29" s="375" customFormat="1">
      <c r="C367" s="1188"/>
      <c r="D367" s="977"/>
      <c r="E367" s="977"/>
      <c r="S367" s="978"/>
      <c r="T367" s="978"/>
      <c r="U367" s="978"/>
      <c r="V367" s="978"/>
      <c r="W367" s="978"/>
      <c r="X367" s="978"/>
      <c r="Y367" s="978"/>
      <c r="Z367" s="978"/>
      <c r="AA367" s="978"/>
      <c r="AB367" s="978"/>
      <c r="AC367" s="978"/>
    </row>
    <row r="368" spans="3:29" s="375" customFormat="1">
      <c r="C368" s="1188"/>
      <c r="D368" s="977"/>
      <c r="E368" s="977"/>
      <c r="S368" s="978"/>
      <c r="T368" s="978"/>
      <c r="U368" s="978"/>
      <c r="V368" s="978"/>
      <c r="W368" s="978"/>
      <c r="X368" s="978"/>
      <c r="Y368" s="978"/>
      <c r="Z368" s="978"/>
      <c r="AA368" s="978"/>
      <c r="AB368" s="978"/>
      <c r="AC368" s="978"/>
    </row>
    <row r="369" spans="3:29" s="375" customFormat="1">
      <c r="C369" s="1188"/>
      <c r="D369" s="977"/>
      <c r="E369" s="977"/>
      <c r="S369" s="978"/>
      <c r="T369" s="978"/>
      <c r="U369" s="978"/>
      <c r="V369" s="978"/>
      <c r="W369" s="978"/>
      <c r="X369" s="978"/>
      <c r="Y369" s="978"/>
      <c r="Z369" s="978"/>
      <c r="AA369" s="978"/>
      <c r="AB369" s="978"/>
      <c r="AC369" s="978"/>
    </row>
    <row r="370" spans="3:29" s="375" customFormat="1">
      <c r="C370" s="1188"/>
      <c r="D370" s="977"/>
      <c r="E370" s="977"/>
      <c r="S370" s="978"/>
      <c r="T370" s="978"/>
      <c r="U370" s="978"/>
      <c r="V370" s="978"/>
      <c r="W370" s="978"/>
      <c r="X370" s="978"/>
      <c r="Y370" s="978"/>
      <c r="Z370" s="978"/>
      <c r="AA370" s="978"/>
      <c r="AB370" s="978"/>
      <c r="AC370" s="978"/>
    </row>
    <row r="371" spans="3:29" s="375" customFormat="1">
      <c r="C371" s="1188"/>
      <c r="D371" s="977"/>
      <c r="E371" s="977"/>
      <c r="S371" s="978"/>
      <c r="T371" s="978"/>
      <c r="U371" s="978"/>
      <c r="V371" s="978"/>
      <c r="W371" s="978"/>
      <c r="X371" s="978"/>
      <c r="Y371" s="978"/>
      <c r="Z371" s="978"/>
      <c r="AA371" s="978"/>
      <c r="AB371" s="978"/>
      <c r="AC371" s="978"/>
    </row>
    <row r="372" spans="3:29" s="375" customFormat="1">
      <c r="C372" s="1188"/>
      <c r="D372" s="977"/>
      <c r="E372" s="977"/>
      <c r="S372" s="978"/>
      <c r="T372" s="978"/>
      <c r="U372" s="978"/>
      <c r="V372" s="978"/>
      <c r="W372" s="978"/>
      <c r="X372" s="978"/>
      <c r="Y372" s="978"/>
      <c r="Z372" s="978"/>
      <c r="AA372" s="978"/>
      <c r="AB372" s="978"/>
      <c r="AC372" s="978"/>
    </row>
    <row r="373" spans="3:29" s="375" customFormat="1">
      <c r="C373" s="1188"/>
      <c r="D373" s="977"/>
      <c r="E373" s="977"/>
      <c r="S373" s="978"/>
      <c r="T373" s="978"/>
      <c r="U373" s="978"/>
      <c r="V373" s="978"/>
      <c r="W373" s="978"/>
      <c r="X373" s="978"/>
      <c r="Y373" s="978"/>
      <c r="Z373" s="978"/>
      <c r="AA373" s="978"/>
      <c r="AB373" s="978"/>
      <c r="AC373" s="978"/>
    </row>
    <row r="374" spans="3:29" s="375" customFormat="1">
      <c r="C374" s="1188"/>
      <c r="D374" s="977"/>
      <c r="E374" s="977"/>
      <c r="S374" s="978"/>
      <c r="T374" s="978"/>
      <c r="U374" s="978"/>
      <c r="V374" s="978"/>
      <c r="W374" s="978"/>
      <c r="X374" s="978"/>
      <c r="Y374" s="978"/>
      <c r="Z374" s="978"/>
      <c r="AA374" s="978"/>
      <c r="AB374" s="978"/>
      <c r="AC374" s="978"/>
    </row>
    <row r="375" spans="3:29" s="375" customFormat="1">
      <c r="C375" s="1188"/>
      <c r="D375" s="977"/>
      <c r="E375" s="977"/>
      <c r="S375" s="978"/>
      <c r="T375" s="978"/>
      <c r="U375" s="978"/>
      <c r="V375" s="978"/>
      <c r="W375" s="978"/>
      <c r="X375" s="978"/>
      <c r="Y375" s="978"/>
      <c r="Z375" s="978"/>
      <c r="AA375" s="978"/>
      <c r="AB375" s="978"/>
      <c r="AC375" s="978"/>
    </row>
    <row r="376" spans="3:29" s="375" customFormat="1">
      <c r="C376" s="1188"/>
      <c r="D376" s="977"/>
      <c r="E376" s="977"/>
      <c r="S376" s="978"/>
      <c r="T376" s="978"/>
      <c r="U376" s="978"/>
      <c r="V376" s="978"/>
      <c r="W376" s="978"/>
      <c r="X376" s="978"/>
      <c r="Y376" s="978"/>
      <c r="Z376" s="978"/>
      <c r="AA376" s="978"/>
      <c r="AB376" s="978"/>
      <c r="AC376" s="978"/>
    </row>
    <row r="377" spans="3:29" s="375" customFormat="1">
      <c r="C377" s="1188"/>
      <c r="D377" s="977"/>
      <c r="E377" s="977"/>
      <c r="S377" s="978"/>
      <c r="T377" s="978"/>
      <c r="U377" s="978"/>
      <c r="V377" s="978"/>
      <c r="W377" s="978"/>
      <c r="X377" s="978"/>
      <c r="Y377" s="978"/>
      <c r="Z377" s="978"/>
      <c r="AA377" s="978"/>
      <c r="AB377" s="978"/>
      <c r="AC377" s="978"/>
    </row>
    <row r="378" spans="3:29" s="375" customFormat="1">
      <c r="C378" s="1188"/>
      <c r="D378" s="977"/>
      <c r="E378" s="977"/>
      <c r="S378" s="978"/>
      <c r="T378" s="978"/>
      <c r="U378" s="978"/>
      <c r="V378" s="978"/>
      <c r="W378" s="978"/>
      <c r="X378" s="978"/>
      <c r="Y378" s="978"/>
      <c r="Z378" s="978"/>
      <c r="AA378" s="978"/>
      <c r="AB378" s="978"/>
      <c r="AC378" s="978"/>
    </row>
    <row r="379" spans="3:29" s="375" customFormat="1">
      <c r="C379" s="1188"/>
      <c r="D379" s="977"/>
      <c r="E379" s="977"/>
      <c r="S379" s="978"/>
      <c r="T379" s="978"/>
      <c r="U379" s="978"/>
      <c r="V379" s="978"/>
      <c r="W379" s="978"/>
      <c r="X379" s="978"/>
      <c r="Y379" s="978"/>
      <c r="Z379" s="978"/>
      <c r="AA379" s="978"/>
      <c r="AB379" s="978"/>
      <c r="AC379" s="978"/>
    </row>
    <row r="380" spans="3:29" s="375" customFormat="1">
      <c r="C380" s="1188"/>
      <c r="D380" s="977"/>
      <c r="E380" s="977"/>
      <c r="S380" s="978"/>
      <c r="T380" s="978"/>
      <c r="U380" s="978"/>
      <c r="V380" s="978"/>
      <c r="W380" s="978"/>
      <c r="X380" s="978"/>
      <c r="Y380" s="978"/>
      <c r="Z380" s="978"/>
      <c r="AA380" s="978"/>
      <c r="AB380" s="978"/>
      <c r="AC380" s="978"/>
    </row>
    <row r="381" spans="3:29" s="375" customFormat="1">
      <c r="C381" s="1188"/>
      <c r="D381" s="977"/>
      <c r="E381" s="977"/>
      <c r="S381" s="978"/>
      <c r="T381" s="978"/>
      <c r="U381" s="978"/>
      <c r="V381" s="978"/>
      <c r="W381" s="978"/>
      <c r="X381" s="978"/>
      <c r="Y381" s="978"/>
      <c r="Z381" s="978"/>
      <c r="AA381" s="978"/>
      <c r="AB381" s="978"/>
      <c r="AC381" s="978"/>
    </row>
    <row r="382" spans="3:29" s="375" customFormat="1">
      <c r="C382" s="1188"/>
      <c r="D382" s="977"/>
      <c r="E382" s="977"/>
      <c r="S382" s="978"/>
      <c r="T382" s="978"/>
      <c r="U382" s="978"/>
      <c r="V382" s="978"/>
      <c r="W382" s="978"/>
      <c r="X382" s="978"/>
      <c r="Y382" s="978"/>
      <c r="Z382" s="978"/>
      <c r="AA382" s="978"/>
      <c r="AB382" s="978"/>
      <c r="AC382" s="978"/>
    </row>
  </sheetData>
  <mergeCells count="6">
    <mergeCell ref="C5:AJ5"/>
    <mergeCell ref="C6:AJ6"/>
    <mergeCell ref="C1:AJ1"/>
    <mergeCell ref="C2:AJ2"/>
    <mergeCell ref="C3:AJ3"/>
    <mergeCell ref="C4:AJ4"/>
  </mergeCells>
  <phoneticPr fontId="33" type="noConversion"/>
  <printOptions horizontalCentered="1" gridLines="1"/>
  <pageMargins left="0.19685039370078741" right="0.19685039370078741" top="0.39370078740157483" bottom="0.39370078740157483" header="0" footer="0.19685039370078741"/>
  <pageSetup scale="67" fitToHeight="2" orientation="landscape" horizontalDpi="4294967295" verticalDpi="144" r:id="rId1"/>
  <headerFooter alignWithMargins="0">
    <oddFooter>Página &amp;P de &amp;N</oddFooter>
  </headerFooter>
  <colBreaks count="1" manualBreakCount="1">
    <brk id="15" max="1048575" man="1"/>
  </colBreaks>
  <drawing r:id="rId2"/>
  <legacyDrawing r:id="rId3"/>
</worksheet>
</file>

<file path=xl/worksheets/sheet6.xml><?xml version="1.0" encoding="utf-8"?>
<worksheet xmlns="http://schemas.openxmlformats.org/spreadsheetml/2006/main" xmlns:r="http://schemas.openxmlformats.org/officeDocument/2006/relationships">
  <sheetPr enableFormatConditionsCalculation="0">
    <tabColor indexed="11"/>
    <pageSetUpPr fitToPage="1"/>
  </sheetPr>
  <dimension ref="A1:R35"/>
  <sheetViews>
    <sheetView zoomScale="85" zoomScaleNormal="85" workbookViewId="0">
      <selection activeCell="A9" sqref="A9"/>
    </sheetView>
  </sheetViews>
  <sheetFormatPr baseColWidth="10" defaultRowHeight="15" customHeight="1"/>
  <cols>
    <col min="1" max="1" width="26" customWidth="1"/>
    <col min="2" max="2" width="9.7109375" hidden="1" customWidth="1"/>
    <col min="3" max="3" width="9.42578125" hidden="1" customWidth="1"/>
    <col min="4" max="4" width="9.140625" hidden="1" customWidth="1"/>
    <col min="5" max="5" width="9" hidden="1" customWidth="1"/>
    <col min="6" max="6" width="10.85546875" hidden="1" customWidth="1"/>
    <col min="7" max="7" width="9.28515625" hidden="1" customWidth="1"/>
    <col min="8" max="8" width="10.42578125" customWidth="1"/>
    <col min="9" max="9" width="12" customWidth="1"/>
    <col min="11" max="11" width="11.5703125" customWidth="1"/>
  </cols>
  <sheetData>
    <row r="1" spans="1:18" ht="15" customHeight="1">
      <c r="A1" s="1323"/>
      <c r="B1" s="1323"/>
      <c r="C1" s="1323"/>
      <c r="D1" s="1323"/>
      <c r="E1" s="1323"/>
      <c r="F1" s="1323"/>
      <c r="G1" s="1323"/>
      <c r="H1" s="1323"/>
      <c r="I1" s="1323"/>
      <c r="J1" s="1323"/>
      <c r="K1" s="1323"/>
      <c r="L1" s="1323"/>
      <c r="M1" s="1323"/>
      <c r="N1" s="1323"/>
      <c r="O1" s="1323"/>
      <c r="P1" s="1323"/>
      <c r="Q1" s="1323"/>
      <c r="R1" s="1323"/>
    </row>
    <row r="2" spans="1:18" ht="15" customHeight="1">
      <c r="A2" s="1323" t="s">
        <v>487</v>
      </c>
      <c r="B2" s="1323"/>
      <c r="C2" s="1323"/>
      <c r="D2" s="1323"/>
      <c r="E2" s="1323"/>
      <c r="F2" s="1323"/>
      <c r="G2" s="1323"/>
      <c r="H2" s="1323"/>
      <c r="I2" s="1323"/>
      <c r="J2" s="1323"/>
      <c r="K2" s="1323"/>
      <c r="L2" s="1323"/>
      <c r="M2" s="1323"/>
      <c r="N2" s="1323"/>
      <c r="O2" s="1323"/>
      <c r="P2" s="1323"/>
      <c r="Q2" s="1323"/>
      <c r="R2" s="1323"/>
    </row>
    <row r="3" spans="1:18" ht="15" customHeight="1">
      <c r="A3" s="1323" t="s">
        <v>532</v>
      </c>
      <c r="B3" s="1323"/>
      <c r="C3" s="1323"/>
      <c r="D3" s="1323"/>
      <c r="E3" s="1323"/>
      <c r="F3" s="1323"/>
      <c r="G3" s="1323"/>
      <c r="H3" s="1323"/>
      <c r="I3" s="1323"/>
      <c r="J3" s="1323"/>
      <c r="K3" s="1323"/>
      <c r="L3" s="1323"/>
      <c r="M3" s="1323"/>
      <c r="N3" s="1323"/>
      <c r="O3" s="1323"/>
      <c r="P3" s="1323"/>
      <c r="Q3" s="1323"/>
      <c r="R3" s="1323"/>
    </row>
    <row r="4" spans="1:18" ht="15" customHeight="1">
      <c r="A4" s="1323" t="s">
        <v>1136</v>
      </c>
      <c r="B4" s="1323"/>
      <c r="C4" s="1323"/>
      <c r="D4" s="1323"/>
      <c r="E4" s="1323"/>
      <c r="F4" s="1323"/>
      <c r="G4" s="1323"/>
      <c r="H4" s="1323"/>
      <c r="I4" s="1323"/>
      <c r="J4" s="1323"/>
      <c r="K4" s="1323"/>
      <c r="L4" s="1323"/>
      <c r="M4" s="1323"/>
      <c r="N4" s="1323"/>
      <c r="O4" s="1323"/>
      <c r="P4" s="1323"/>
      <c r="Q4" s="1323"/>
      <c r="R4" s="1323"/>
    </row>
    <row r="5" spans="1:18" ht="15" customHeight="1">
      <c r="A5" s="1323" t="s">
        <v>1352</v>
      </c>
      <c r="B5" s="1323"/>
      <c r="C5" s="1323"/>
      <c r="D5" s="1323"/>
      <c r="E5" s="1323"/>
      <c r="F5" s="1323"/>
      <c r="G5" s="1323"/>
      <c r="H5" s="1323"/>
      <c r="I5" s="1323"/>
      <c r="J5" s="1323"/>
      <c r="K5" s="1323"/>
      <c r="L5" s="1323"/>
      <c r="M5" s="1323"/>
      <c r="N5" s="1323"/>
      <c r="O5" s="1323"/>
      <c r="P5" s="1323"/>
      <c r="Q5" s="1323"/>
      <c r="R5" s="1323"/>
    </row>
    <row r="6" spans="1:18" ht="15" customHeight="1">
      <c r="A6" s="1323" t="s">
        <v>1137</v>
      </c>
      <c r="B6" s="1323"/>
      <c r="C6" s="1323"/>
      <c r="D6" s="1323"/>
      <c r="E6" s="1323"/>
      <c r="F6" s="1323"/>
      <c r="G6" s="1323"/>
      <c r="H6" s="1323"/>
      <c r="I6" s="1323"/>
      <c r="J6" s="1323"/>
      <c r="K6" s="1323"/>
      <c r="L6" s="1323"/>
      <c r="M6" s="1323"/>
      <c r="N6" s="1323"/>
      <c r="O6" s="1323"/>
      <c r="P6" s="1323"/>
      <c r="Q6" s="1323"/>
      <c r="R6" s="1323"/>
    </row>
    <row r="7" spans="1:18" ht="15" customHeight="1">
      <c r="A7" s="1324" t="s">
        <v>533</v>
      </c>
      <c r="B7" s="1324"/>
      <c r="C7" s="1324"/>
      <c r="D7" s="1324"/>
      <c r="E7" s="1324"/>
      <c r="F7" s="1324"/>
      <c r="G7" s="1324"/>
      <c r="H7" s="1324"/>
      <c r="I7" s="1324"/>
      <c r="J7" s="1324"/>
      <c r="K7" s="1324"/>
      <c r="L7" s="1324"/>
      <c r="M7" s="1324"/>
      <c r="N7" s="1324"/>
      <c r="O7" s="1324"/>
      <c r="P7" s="1324"/>
      <c r="Q7" s="1324"/>
      <c r="R7" s="1324"/>
    </row>
    <row r="8" spans="1:18" ht="15" customHeight="1">
      <c r="A8" s="1290" t="s">
        <v>32</v>
      </c>
      <c r="B8" s="1291">
        <v>2006</v>
      </c>
      <c r="C8" s="1291">
        <v>2007</v>
      </c>
      <c r="D8" s="1291">
        <v>2008</v>
      </c>
      <c r="E8" s="1291">
        <v>2009</v>
      </c>
      <c r="F8" s="1291">
        <v>2010</v>
      </c>
      <c r="G8" s="1291">
        <v>2011</v>
      </c>
      <c r="H8" s="1291">
        <v>2012</v>
      </c>
      <c r="I8" s="1291">
        <v>2013</v>
      </c>
      <c r="J8" s="1291">
        <v>2014</v>
      </c>
      <c r="K8" s="1291">
        <v>2015</v>
      </c>
      <c r="L8" s="1291">
        <v>2016</v>
      </c>
      <c r="M8" s="1291">
        <v>2017</v>
      </c>
      <c r="N8" s="1291">
        <v>2018</v>
      </c>
      <c r="O8" s="1291">
        <v>2019</v>
      </c>
      <c r="P8" s="1291">
        <v>2020</v>
      </c>
      <c r="Q8" s="1291">
        <v>2021</v>
      </c>
      <c r="R8" s="1291">
        <v>2022</v>
      </c>
    </row>
    <row r="9" spans="1:18" s="1241" customFormat="1" ht="34.5" customHeight="1">
      <c r="A9" s="1268" t="s">
        <v>1138</v>
      </c>
      <c r="B9" s="1289" t="e">
        <f>+'Ley 617'!T59</f>
        <v>#REF!</v>
      </c>
      <c r="C9" s="1289" t="e">
        <f>+'Ley 617'!U59</f>
        <v>#REF!</v>
      </c>
      <c r="D9" s="1289">
        <f>+'Ley 617'!V59</f>
        <v>897906</v>
      </c>
      <c r="E9" s="1289">
        <f>+'Ley 617'!W59</f>
        <v>761820.6</v>
      </c>
      <c r="F9" s="1289">
        <f>+'Ley 617'!X59</f>
        <v>792293.42400000012</v>
      </c>
      <c r="G9" s="1289">
        <f>+'Ley 617'!Y59</f>
        <v>823985.16096000024</v>
      </c>
      <c r="H9" s="1289">
        <f>+'Ley 617'!Z59</f>
        <v>868944.56739840016</v>
      </c>
      <c r="I9" s="1289">
        <f>+'Ley 617'!AA59</f>
        <v>903702.3500943362</v>
      </c>
      <c r="J9" s="1289">
        <f>+'Ley 617'!AB59</f>
        <v>939850.44409810961</v>
      </c>
      <c r="K9" s="1289">
        <f>+'Ley 617'!AC59</f>
        <v>977444.46186203405</v>
      </c>
      <c r="L9" s="1289">
        <f>+'Ley 617'!AD59</f>
        <v>1016542.2403365155</v>
      </c>
      <c r="M9" s="1289">
        <f>+'Ley 617'!AE59</f>
        <v>1057203.929949976</v>
      </c>
      <c r="N9" s="1289">
        <f>+'Ley 617'!AF59</f>
        <v>1099492.0871479751</v>
      </c>
      <c r="O9" s="1289">
        <f>+'Ley 617'!AG59</f>
        <v>1143471.7706338943</v>
      </c>
      <c r="P9" s="1289">
        <f>+'Ley 617'!AH59</f>
        <v>1189210.6414592499</v>
      </c>
      <c r="Q9" s="1289">
        <f>+'Ley 617'!AI59</f>
        <v>1236779.0671176203</v>
      </c>
      <c r="R9" s="1289">
        <f>+'Ley 617'!AJ59</f>
        <v>1286250.2298023249</v>
      </c>
    </row>
    <row r="10" spans="1:18" ht="29.25" customHeight="1">
      <c r="A10" s="1288" t="s">
        <v>138</v>
      </c>
      <c r="B10" s="1267">
        <f>+'Ley 617'!T70</f>
        <v>673079.08000000007</v>
      </c>
      <c r="C10" s="1267">
        <f>+'Ley 617'!U70</f>
        <v>512963</v>
      </c>
      <c r="D10" s="1267">
        <f>+'Ley 617'!V70</f>
        <v>592522</v>
      </c>
      <c r="E10" s="1267">
        <f>+'Ley 617'!W70</f>
        <v>453619.8</v>
      </c>
      <c r="F10" s="1267">
        <f>+'Ley 617'!X70</f>
        <v>470725.55200000003</v>
      </c>
      <c r="G10" s="1267">
        <f>+'Ley 617'!Y70</f>
        <v>471096</v>
      </c>
      <c r="H10" s="1267">
        <f>+'Ley 617'!Z70</f>
        <v>508539.04</v>
      </c>
      <c r="I10" s="1267">
        <f>+'Ley 617'!AA70</f>
        <v>528880.60159999994</v>
      </c>
      <c r="J10" s="1267">
        <f>+'Ley 617'!AB70</f>
        <v>550035.825664</v>
      </c>
      <c r="K10" s="1267">
        <f>+'Ley 617'!AC70</f>
        <v>572037.25869056</v>
      </c>
      <c r="L10" s="1267">
        <f>+'Ley 617'!AD70</f>
        <v>594918.74903818243</v>
      </c>
      <c r="M10" s="1267">
        <f>+'Ley 617'!AE70</f>
        <v>618715.49899970985</v>
      </c>
      <c r="N10" s="1267">
        <f>+'Ley 617'!AF70</f>
        <v>643464.11895969813</v>
      </c>
      <c r="O10" s="1267">
        <f>+'Ley 617'!AG70</f>
        <v>669202.68371808622</v>
      </c>
      <c r="P10" s="1267">
        <f>+'Ley 617'!AH70</f>
        <v>695970.79106680956</v>
      </c>
      <c r="Q10" s="1267">
        <f>+'Ley 617'!AI70</f>
        <v>723809.62270948198</v>
      </c>
      <c r="R10" s="1267">
        <f>+'Ley 617'!AJ70</f>
        <v>752761.00761786138</v>
      </c>
    </row>
    <row r="11" spans="1:18" ht="15" customHeight="1">
      <c r="A11" s="1268" t="s">
        <v>1139</v>
      </c>
      <c r="B11" s="1267" t="e">
        <f t="shared" ref="B11:K11" si="0">+B9-B10</f>
        <v>#REF!</v>
      </c>
      <c r="C11" s="1267" t="e">
        <f t="shared" si="0"/>
        <v>#REF!</v>
      </c>
      <c r="D11" s="1267">
        <f t="shared" si="0"/>
        <v>305384</v>
      </c>
      <c r="E11" s="1267">
        <f t="shared" si="0"/>
        <v>308200.8</v>
      </c>
      <c r="F11" s="1267">
        <f t="shared" si="0"/>
        <v>321567.87200000009</v>
      </c>
      <c r="G11" s="1267">
        <f t="shared" si="0"/>
        <v>352889.16096000024</v>
      </c>
      <c r="H11" s="1267">
        <f t="shared" si="0"/>
        <v>360405.52739840018</v>
      </c>
      <c r="I11" s="1267">
        <f t="shared" si="0"/>
        <v>374821.74849433627</v>
      </c>
      <c r="J11" s="1267">
        <f t="shared" si="0"/>
        <v>389814.61843410961</v>
      </c>
      <c r="K11" s="1267">
        <f t="shared" si="0"/>
        <v>405407.20317147404</v>
      </c>
      <c r="L11" s="1267">
        <f t="shared" ref="L11:R11" si="1">+L9-L10</f>
        <v>421623.49129833304</v>
      </c>
      <c r="M11" s="1267">
        <f t="shared" si="1"/>
        <v>438488.43095026619</v>
      </c>
      <c r="N11" s="1267">
        <f t="shared" si="1"/>
        <v>456027.96818827698</v>
      </c>
      <c r="O11" s="1267">
        <f t="shared" si="1"/>
        <v>474269.08691580803</v>
      </c>
      <c r="P11" s="1267">
        <f t="shared" si="1"/>
        <v>493239.85039244033</v>
      </c>
      <c r="Q11" s="1267">
        <f t="shared" si="1"/>
        <v>512969.44440813828</v>
      </c>
      <c r="R11" s="1267">
        <f t="shared" si="1"/>
        <v>533489.22218446352</v>
      </c>
    </row>
    <row r="12" spans="1:18" ht="47.25" customHeight="1">
      <c r="A12" s="1268" t="s">
        <v>1140</v>
      </c>
      <c r="B12" s="1267" t="e">
        <f>+'Ingresos Proyecciones'!G79</f>
        <v>#REF!</v>
      </c>
      <c r="C12" s="1267">
        <f>+'Ingresos Proyecciones'!H79</f>
        <v>28662.400000000001</v>
      </c>
      <c r="D12" s="1267">
        <f>+'Ingresos Proyecciones'!I79</f>
        <v>562</v>
      </c>
      <c r="E12" s="1267">
        <f>+'Ingresos Proyecciones'!J79</f>
        <v>5000</v>
      </c>
      <c r="F12" s="1267">
        <f>+'Ingresos Proyecciones'!K79</f>
        <v>5200</v>
      </c>
      <c r="G12" s="1267">
        <f>+'Ingresos Proyecciones'!L79</f>
        <v>5408</v>
      </c>
      <c r="H12" s="1267">
        <f>+'Ingresos Proyecciones'!M79</f>
        <v>5625</v>
      </c>
      <c r="I12" s="1267">
        <f>+'Ingresos Proyecciones'!N79</f>
        <v>5850</v>
      </c>
      <c r="J12" s="1267">
        <f>+'Ingresos Proyecciones'!O79</f>
        <v>6084</v>
      </c>
      <c r="K12" s="1267">
        <f>+'Ingresos Proyecciones'!P79</f>
        <v>6327.3600000000006</v>
      </c>
      <c r="L12" s="1267">
        <f>+'Ingresos Proyecciones'!Q79</f>
        <v>6580.4544000000005</v>
      </c>
      <c r="M12" s="1267">
        <f>+'Ingresos Proyecciones'!R79</f>
        <v>6843.6725760000008</v>
      </c>
      <c r="N12" s="1267">
        <f>+'Ingresos Proyecciones'!S79</f>
        <v>7117.4194790400015</v>
      </c>
      <c r="O12" s="1267">
        <f>+'Ingresos Proyecciones'!T79</f>
        <v>7402.1162582016022</v>
      </c>
      <c r="P12" s="1267">
        <f>+'Ingresos Proyecciones'!U79</f>
        <v>7698.2009085296668</v>
      </c>
      <c r="Q12" s="1267">
        <f>+'Ingresos Proyecciones'!V79</f>
        <v>8006.128944870854</v>
      </c>
      <c r="R12" s="1267">
        <f>+'Ingresos Proyecciones'!W79</f>
        <v>8326.374102665688</v>
      </c>
    </row>
    <row r="13" spans="1:18" ht="47.25" customHeight="1">
      <c r="A13" s="1268" t="s">
        <v>1149</v>
      </c>
      <c r="B13" s="1267">
        <f>+'Ingresos Proyecciones'!G113</f>
        <v>1040</v>
      </c>
      <c r="C13" s="1267"/>
      <c r="D13" s="1267">
        <v>0</v>
      </c>
      <c r="E13" s="1267">
        <v>0</v>
      </c>
      <c r="F13" s="1267">
        <v>0</v>
      </c>
      <c r="G13" s="1267">
        <v>0</v>
      </c>
      <c r="H13" s="1267">
        <v>0</v>
      </c>
      <c r="I13" s="1267">
        <v>0</v>
      </c>
      <c r="J13" s="1267">
        <v>0</v>
      </c>
      <c r="K13" s="1267">
        <v>0</v>
      </c>
      <c r="L13" s="1267">
        <v>0</v>
      </c>
      <c r="M13" s="1267">
        <v>0</v>
      </c>
      <c r="N13" s="1267">
        <v>0</v>
      </c>
      <c r="O13" s="1267">
        <v>0</v>
      </c>
      <c r="P13" s="1267">
        <v>1</v>
      </c>
      <c r="Q13" s="1267">
        <v>1</v>
      </c>
      <c r="R13" s="1267">
        <v>1</v>
      </c>
    </row>
    <row r="14" spans="1:18" ht="15" customHeight="1">
      <c r="A14" s="1268" t="s">
        <v>1141</v>
      </c>
      <c r="B14" s="1267" t="e">
        <f>+'Gastos Proyecciones'!G182</f>
        <v>#REF!</v>
      </c>
      <c r="C14" s="1267">
        <f>+'Gastos Proyecciones'!H182</f>
        <v>211000</v>
      </c>
      <c r="D14" s="1267">
        <f>+'Gastos Proyecciones'!I182</f>
        <v>201000</v>
      </c>
      <c r="E14" s="1267">
        <f>+'Gastos Proyecciones'!J182</f>
        <v>257000</v>
      </c>
      <c r="F14" s="1267">
        <f>+'Gastos Proyecciones'!K182</f>
        <v>84000</v>
      </c>
      <c r="G14" s="1267">
        <f>+'Gastos Proyecciones'!L182</f>
        <v>314000</v>
      </c>
      <c r="H14" s="1267">
        <f>+'Gastos Proyecciones'!M182</f>
        <v>75000</v>
      </c>
      <c r="I14" s="1267">
        <f>+'Gastos Proyecciones'!N182</f>
        <v>104000</v>
      </c>
      <c r="J14" s="1267">
        <f>+'Gastos Proyecciones'!O182</f>
        <v>53000</v>
      </c>
      <c r="K14" s="1267">
        <f>+'Gastos Proyecciones'!P182</f>
        <v>0</v>
      </c>
      <c r="L14" s="1267">
        <f>+'Gastos Proyecciones'!Q182</f>
        <v>0</v>
      </c>
      <c r="M14" s="1267">
        <f>+'Gastos Proyecciones'!R182</f>
        <v>0</v>
      </c>
      <c r="N14" s="1267">
        <f>+'Gastos Proyecciones'!S182</f>
        <v>0</v>
      </c>
      <c r="O14" s="1267">
        <f>+'Gastos Proyecciones'!T182</f>
        <v>0</v>
      </c>
      <c r="P14" s="1267">
        <f>+'Gastos Proyecciones'!U182</f>
        <v>0</v>
      </c>
      <c r="Q14" s="1267">
        <f>+'Gastos Proyecciones'!V182</f>
        <v>0</v>
      </c>
      <c r="R14" s="1267">
        <f>+'Gastos Proyecciones'!W182</f>
        <v>0</v>
      </c>
    </row>
    <row r="15" spans="1:18" ht="15" customHeight="1">
      <c r="A15" s="1268" t="s">
        <v>1142</v>
      </c>
      <c r="B15" s="1267" t="e">
        <f t="shared" ref="B15:K15" si="2">+B11+B12-B14</f>
        <v>#REF!</v>
      </c>
      <c r="C15" s="1267" t="e">
        <f t="shared" si="2"/>
        <v>#REF!</v>
      </c>
      <c r="D15" s="1267">
        <f t="shared" si="2"/>
        <v>104946</v>
      </c>
      <c r="E15" s="1267">
        <f t="shared" si="2"/>
        <v>56200.799999999988</v>
      </c>
      <c r="F15" s="1267">
        <f t="shared" si="2"/>
        <v>242767.87200000009</v>
      </c>
      <c r="G15" s="1267">
        <f t="shared" si="2"/>
        <v>44297.160960000241</v>
      </c>
      <c r="H15" s="1267">
        <f t="shared" si="2"/>
        <v>291030.52739840018</v>
      </c>
      <c r="I15" s="1267">
        <f t="shared" si="2"/>
        <v>276671.74849433627</v>
      </c>
      <c r="J15" s="1267">
        <f t="shared" si="2"/>
        <v>342898.61843410961</v>
      </c>
      <c r="K15" s="1267">
        <f t="shared" si="2"/>
        <v>411734.56317147403</v>
      </c>
      <c r="L15" s="1267">
        <f t="shared" ref="L15:R15" si="3">+L11+L12-L14</f>
        <v>428203.94569833303</v>
      </c>
      <c r="M15" s="1267">
        <f t="shared" si="3"/>
        <v>445332.10352626618</v>
      </c>
      <c r="N15" s="1267">
        <f t="shared" si="3"/>
        <v>463145.387667317</v>
      </c>
      <c r="O15" s="1267">
        <f t="shared" si="3"/>
        <v>481671.20317400963</v>
      </c>
      <c r="P15" s="1267">
        <f t="shared" si="3"/>
        <v>500938.05130097002</v>
      </c>
      <c r="Q15" s="1267">
        <f t="shared" si="3"/>
        <v>520975.57335300912</v>
      </c>
      <c r="R15" s="1267">
        <f t="shared" si="3"/>
        <v>541815.59628712921</v>
      </c>
    </row>
    <row r="16" spans="1:18" ht="64.5" customHeight="1">
      <c r="A16" s="1268" t="s">
        <v>1148</v>
      </c>
      <c r="B16" s="1267">
        <f>+'Ingresos Proyecciones'!G46+'Ingresos Proyecciones'!G27</f>
        <v>5236027.68</v>
      </c>
      <c r="C16" s="1267">
        <f>+'Ingresos Proyecciones'!H46+'Ingresos Proyecciones'!H27</f>
        <v>4569039.0224000001</v>
      </c>
      <c r="D16" s="1267">
        <f>+'Ingresos Proyecciones'!I11-'Plan Plurianual'!D9</f>
        <v>4843333</v>
      </c>
      <c r="E16" s="1267">
        <f>+'Ingresos Proyecciones'!J11-'Plan Plurianual'!E9</f>
        <v>4910286.7600000007</v>
      </c>
      <c r="F16" s="1267">
        <f>+'Ingresos Proyecciones'!K11-'Plan Plurianual'!F9</f>
        <v>5106698.2303999998</v>
      </c>
      <c r="G16" s="1267">
        <f>+'Ingresos Proyecciones'!L11-'Plan Plurianual'!G9</f>
        <v>5310966.159616</v>
      </c>
      <c r="H16" s="1267">
        <f>+'Ingresos Proyecciones'!M11-'Plan Plurianual'!H9</f>
        <v>5559404.8052966408</v>
      </c>
      <c r="I16" s="1267">
        <f>+'Ingresos Proyecciones'!N11-'Plan Plurianual'!I9</f>
        <v>5781780.9975085063</v>
      </c>
      <c r="J16" s="1267">
        <f>+'Ingresos Proyecciones'!O11-'Plan Plurianual'!J9</f>
        <v>6013052.2374088475</v>
      </c>
      <c r="K16" s="1267">
        <f>+'Ingresos Proyecciones'!P11-'Plan Plurianual'!K9</f>
        <v>6253574.3269052003</v>
      </c>
      <c r="L16" s="1267">
        <f>+'Ingresos Proyecciones'!Q11-'Plan Plurianual'!L9</f>
        <v>6503717.2999814097</v>
      </c>
      <c r="M16" s="1267">
        <f>+'Ingresos Proyecciones'!R11-'Plan Plurianual'!M9</f>
        <v>6763865.9919806663</v>
      </c>
      <c r="N16" s="1267">
        <f>+'Ingresos Proyecciones'!S11-'Plan Plurianual'!N9</f>
        <v>7034420.6316598915</v>
      </c>
      <c r="O16" s="1267">
        <f>+'Ingresos Proyecciones'!T11-'Plan Plurianual'!O9</f>
        <v>7315797.4569262872</v>
      </c>
      <c r="P16" s="1267">
        <f>+'Ingresos Proyecciones'!U11-'Plan Plurianual'!P9</f>
        <v>7608429.3552033389</v>
      </c>
      <c r="Q16" s="1267">
        <f>+'Ingresos Proyecciones'!V11-'Plan Plurianual'!Q9</f>
        <v>7912766.5294114705</v>
      </c>
      <c r="R16" s="1267">
        <f>+'Ingresos Proyecciones'!W11-'Plan Plurianual'!R9</f>
        <v>8229277.1905879322</v>
      </c>
    </row>
    <row r="17" spans="1:18" ht="26.25" customHeight="1">
      <c r="A17" s="1268" t="s">
        <v>1143</v>
      </c>
      <c r="B17" s="1267" t="e">
        <f t="shared" ref="B17:K17" si="4">+B16+B15</f>
        <v>#REF!</v>
      </c>
      <c r="C17" s="1267" t="e">
        <f t="shared" si="4"/>
        <v>#REF!</v>
      </c>
      <c r="D17" s="1267">
        <f t="shared" si="4"/>
        <v>4948279</v>
      </c>
      <c r="E17" s="1267">
        <f t="shared" si="4"/>
        <v>4966487.5600000005</v>
      </c>
      <c r="F17" s="1267">
        <f t="shared" si="4"/>
        <v>5349466.1024000002</v>
      </c>
      <c r="G17" s="1267">
        <f t="shared" si="4"/>
        <v>5355263.320576</v>
      </c>
      <c r="H17" s="1267">
        <f t="shared" si="4"/>
        <v>5850435.3326950409</v>
      </c>
      <c r="I17" s="1267">
        <f t="shared" si="4"/>
        <v>6058452.7460028427</v>
      </c>
      <c r="J17" s="1267">
        <f t="shared" si="4"/>
        <v>6355950.8558429573</v>
      </c>
      <c r="K17" s="1267">
        <f t="shared" si="4"/>
        <v>6665308.8900766745</v>
      </c>
      <c r="L17" s="1267">
        <f t="shared" ref="L17:R17" si="5">+L16+L15</f>
        <v>6931921.2456797427</v>
      </c>
      <c r="M17" s="1267">
        <f t="shared" si="5"/>
        <v>7209198.0955069326</v>
      </c>
      <c r="N17" s="1267">
        <f t="shared" si="5"/>
        <v>7497566.0193272084</v>
      </c>
      <c r="O17" s="1267">
        <f t="shared" si="5"/>
        <v>7797468.6601002971</v>
      </c>
      <c r="P17" s="1267">
        <f t="shared" si="5"/>
        <v>8109367.4065043088</v>
      </c>
      <c r="Q17" s="1267">
        <f t="shared" si="5"/>
        <v>8433742.1027644798</v>
      </c>
      <c r="R17" s="1267">
        <f t="shared" si="5"/>
        <v>8771092.7868750617</v>
      </c>
    </row>
    <row r="18" spans="1:18" ht="34.5" customHeight="1">
      <c r="A18" s="1268" t="s">
        <v>1144</v>
      </c>
      <c r="B18" s="1267">
        <v>5379000</v>
      </c>
      <c r="C18" s="1267">
        <v>4548000</v>
      </c>
      <c r="D18" s="1267">
        <v>4790614</v>
      </c>
      <c r="E18" s="1267">
        <v>5041717</v>
      </c>
      <c r="F18" s="1267">
        <f>+E18*1.04</f>
        <v>5243385.6800000006</v>
      </c>
      <c r="G18" s="1267">
        <f>+F18*1.04</f>
        <v>5453121.1072000004</v>
      </c>
      <c r="H18" s="1267">
        <f t="shared" ref="H18:P18" si="6">+G18*1.04</f>
        <v>5671245.9514880003</v>
      </c>
      <c r="I18" s="1267">
        <f t="shared" si="6"/>
        <v>5898095.7895475207</v>
      </c>
      <c r="J18" s="1267">
        <f t="shared" si="6"/>
        <v>6134019.6211294215</v>
      </c>
      <c r="K18" s="1267">
        <f t="shared" si="6"/>
        <v>6379380.4059745986</v>
      </c>
      <c r="L18" s="1267">
        <f t="shared" si="6"/>
        <v>6634555.6222135825</v>
      </c>
      <c r="M18" s="1267">
        <f t="shared" si="6"/>
        <v>6899937.8471021261</v>
      </c>
      <c r="N18" s="1267">
        <f t="shared" si="6"/>
        <v>7175935.3609862113</v>
      </c>
      <c r="O18" s="1267">
        <f t="shared" si="6"/>
        <v>7462972.7754256604</v>
      </c>
      <c r="P18" s="1267">
        <f t="shared" si="6"/>
        <v>7761491.6864426872</v>
      </c>
      <c r="Q18" s="1267">
        <f>+P18*1.04</f>
        <v>8071951.3539003953</v>
      </c>
      <c r="R18" s="1267">
        <f>+Q18*1.04</f>
        <v>8394829.4080564119</v>
      </c>
    </row>
    <row r="19" spans="1:18" ht="30" customHeight="1">
      <c r="A19" s="1268" t="s">
        <v>1145</v>
      </c>
      <c r="B19" s="1267">
        <v>0</v>
      </c>
      <c r="C19" s="1267">
        <v>0</v>
      </c>
      <c r="D19" s="1267">
        <v>0</v>
      </c>
      <c r="E19" s="1267">
        <v>75230</v>
      </c>
      <c r="F19" s="1267">
        <v>0</v>
      </c>
      <c r="G19" s="1267">
        <v>0</v>
      </c>
      <c r="H19" s="1267">
        <v>0</v>
      </c>
      <c r="I19" s="1267">
        <v>0</v>
      </c>
      <c r="J19" s="1267">
        <v>0</v>
      </c>
      <c r="K19" s="1267">
        <v>0</v>
      </c>
      <c r="L19" s="1267">
        <v>0</v>
      </c>
      <c r="M19" s="1267">
        <v>0</v>
      </c>
      <c r="N19" s="1267">
        <v>0</v>
      </c>
      <c r="O19" s="1267">
        <v>0</v>
      </c>
      <c r="P19" s="1267">
        <v>0</v>
      </c>
      <c r="Q19" s="1267">
        <v>0</v>
      </c>
      <c r="R19" s="1267">
        <v>0</v>
      </c>
    </row>
    <row r="20" spans="1:18" s="1242" customFormat="1" ht="28.5" customHeight="1" thickBot="1">
      <c r="A20" s="1269" t="s">
        <v>1146</v>
      </c>
      <c r="B20" s="1270" t="e">
        <f t="shared" ref="B20:K20" si="7">+B17-B18</f>
        <v>#REF!</v>
      </c>
      <c r="C20" s="1270" t="e">
        <f t="shared" si="7"/>
        <v>#REF!</v>
      </c>
      <c r="D20" s="1270">
        <f t="shared" si="7"/>
        <v>157665</v>
      </c>
      <c r="E20" s="1270">
        <f t="shared" si="7"/>
        <v>-75229.439999999478</v>
      </c>
      <c r="F20" s="1270">
        <f>+F17-F18</f>
        <v>106080.42239999957</v>
      </c>
      <c r="G20" s="1270">
        <f t="shared" si="7"/>
        <v>-97857.786624000408</v>
      </c>
      <c r="H20" s="1270">
        <f t="shared" si="7"/>
        <v>179189.38120704051</v>
      </c>
      <c r="I20" s="1270">
        <f t="shared" si="7"/>
        <v>160356.95645532198</v>
      </c>
      <c r="J20" s="1270">
        <f t="shared" si="7"/>
        <v>221931.23471353576</v>
      </c>
      <c r="K20" s="1270">
        <f t="shared" si="7"/>
        <v>285928.48410207592</v>
      </c>
      <c r="L20" s="1270">
        <f t="shared" ref="L20:Q20" si="8">+L17-L18</f>
        <v>297365.62346616015</v>
      </c>
      <c r="M20" s="1270">
        <f t="shared" si="8"/>
        <v>309260.24840480648</v>
      </c>
      <c r="N20" s="1270">
        <f t="shared" si="8"/>
        <v>321630.65834099706</v>
      </c>
      <c r="O20" s="1270">
        <f t="shared" si="8"/>
        <v>334495.88467463665</v>
      </c>
      <c r="P20" s="1270">
        <f t="shared" si="8"/>
        <v>347875.72006162163</v>
      </c>
      <c r="Q20" s="1270">
        <f t="shared" si="8"/>
        <v>361790.74886408448</v>
      </c>
      <c r="R20" s="1270">
        <f>+R17-R18</f>
        <v>376263.3788186498</v>
      </c>
    </row>
    <row r="21" spans="1:18" ht="15" customHeight="1">
      <c r="A21" s="1240"/>
      <c r="B21" s="1240"/>
      <c r="C21" s="1240"/>
      <c r="D21" s="1240"/>
      <c r="E21" s="1240"/>
      <c r="F21" s="1240"/>
      <c r="G21" s="1240"/>
      <c r="H21" s="1240"/>
      <c r="I21" s="1240"/>
      <c r="J21" s="1240"/>
      <c r="K21" s="1240"/>
    </row>
    <row r="23" spans="1:18" ht="15" customHeight="1">
      <c r="B23" s="1243"/>
      <c r="C23" s="1243"/>
      <c r="D23" s="1243"/>
      <c r="E23" s="1243"/>
      <c r="F23" s="1243"/>
      <c r="G23" s="1243"/>
      <c r="H23" s="1243"/>
      <c r="I23" s="1243"/>
      <c r="J23" s="1243"/>
      <c r="K23" s="1243"/>
    </row>
    <row r="24" spans="1:18" ht="15" customHeight="1">
      <c r="A24" s="1157"/>
      <c r="B24" s="1243"/>
      <c r="C24" s="1243"/>
      <c r="D24" s="1243"/>
      <c r="E24" s="1243"/>
      <c r="F24" s="1243"/>
      <c r="G24" s="1243"/>
      <c r="H24" s="1243"/>
      <c r="I24" s="1243"/>
      <c r="J24" s="1243"/>
      <c r="K24" s="1243"/>
    </row>
    <row r="25" spans="1:18" ht="15" customHeight="1">
      <c r="A25" s="1102"/>
      <c r="B25" s="1243"/>
      <c r="C25" s="1243"/>
      <c r="D25" s="1243"/>
      <c r="E25" s="1243"/>
      <c r="F25" s="1243"/>
      <c r="G25" s="1243"/>
      <c r="H25" s="1243"/>
      <c r="I25" s="1243"/>
      <c r="J25" s="1243"/>
      <c r="K25" s="1243"/>
    </row>
    <row r="26" spans="1:18" ht="15" customHeight="1">
      <c r="A26" s="1102"/>
    </row>
    <row r="27" spans="1:18" ht="15" customHeight="1">
      <c r="A27" s="1102"/>
    </row>
    <row r="28" spans="1:18" ht="15" customHeight="1">
      <c r="A28" s="1102"/>
    </row>
    <row r="29" spans="1:18" ht="15" customHeight="1">
      <c r="A29" s="1102"/>
    </row>
    <row r="30" spans="1:18" ht="15" customHeight="1">
      <c r="A30" s="1102"/>
    </row>
    <row r="31" spans="1:18" ht="15" customHeight="1">
      <c r="A31" s="1102"/>
    </row>
    <row r="32" spans="1:18" ht="15" customHeight="1">
      <c r="A32" s="1102"/>
    </row>
    <row r="33" spans="1:1" ht="15" customHeight="1">
      <c r="A33" s="1241" t="s">
        <v>264</v>
      </c>
    </row>
    <row r="34" spans="1:1" ht="15" customHeight="1">
      <c r="A34" s="1241" t="s">
        <v>265</v>
      </c>
    </row>
    <row r="35" spans="1:1" ht="15" customHeight="1">
      <c r="A35" s="1263" t="s">
        <v>266</v>
      </c>
    </row>
  </sheetData>
  <mergeCells count="7">
    <mergeCell ref="A5:R5"/>
    <mergeCell ref="A6:R6"/>
    <mergeCell ref="A7:R7"/>
    <mergeCell ref="A1:R1"/>
    <mergeCell ref="A2:R2"/>
    <mergeCell ref="A3:R3"/>
    <mergeCell ref="A4:R4"/>
  </mergeCells>
  <phoneticPr fontId="33" type="noConversion"/>
  <printOptions horizontalCentered="1"/>
  <pageMargins left="0.19685039370078741" right="0.19685039370078741" top="0.19685039370078741" bottom="0.39370078740157483" header="0.39370078740157483" footer="0"/>
  <pageSetup scale="79" orientation="landscape" horizontalDpi="120" verticalDpi="144" r:id="rId1"/>
  <headerFooter alignWithMargins="0"/>
  <drawing r:id="rId2"/>
</worksheet>
</file>

<file path=xl/worksheets/sheet7.xml><?xml version="1.0" encoding="utf-8"?>
<worksheet xmlns="http://schemas.openxmlformats.org/spreadsheetml/2006/main" xmlns:r="http://schemas.openxmlformats.org/officeDocument/2006/relationships">
  <sheetPr codeName="Hoja5" enableFormatConditionsCalculation="0">
    <tabColor indexed="11"/>
    <pageSetUpPr fitToPage="1"/>
  </sheetPr>
  <dimension ref="A1:BE128"/>
  <sheetViews>
    <sheetView topLeftCell="B75" zoomScale="80" zoomScaleNormal="85" workbookViewId="0">
      <selection activeCell="T8" sqref="T8"/>
    </sheetView>
  </sheetViews>
  <sheetFormatPr baseColWidth="10" defaultRowHeight="15"/>
  <cols>
    <col min="1" max="1" width="13.7109375" style="475" hidden="1" customWidth="1"/>
    <col min="2" max="2" width="57.140625" style="475" customWidth="1"/>
    <col min="3" max="3" width="14.5703125" style="475" hidden="1" customWidth="1"/>
    <col min="4" max="5" width="13.85546875" style="475" hidden="1" customWidth="1"/>
    <col min="6" max="6" width="11.140625" style="857" hidden="1" customWidth="1"/>
    <col min="7" max="7" width="13.140625" style="486" hidden="1" customWidth="1"/>
    <col min="8" max="8" width="12.140625" style="486" hidden="1" customWidth="1"/>
    <col min="9" max="9" width="12" style="486" hidden="1" customWidth="1"/>
    <col min="10" max="10" width="11.85546875" style="486" hidden="1" customWidth="1"/>
    <col min="11" max="11" width="10.140625" style="486" hidden="1" customWidth="1"/>
    <col min="12" max="12" width="11" style="486" customWidth="1"/>
    <col min="13" max="13" width="10.7109375" style="486" customWidth="1"/>
    <col min="14" max="14" width="11.7109375" style="486" customWidth="1"/>
    <col min="15" max="15" width="12.140625" style="486" customWidth="1"/>
    <col min="16" max="22" width="11.42578125" style="486"/>
    <col min="23" max="23" width="11.5703125" style="486" bestFit="1" customWidth="1"/>
    <col min="24" max="57" width="11.42578125" style="486"/>
    <col min="58" max="16384" width="11.42578125" style="475"/>
  </cols>
  <sheetData>
    <row r="1" spans="1:57" s="476" customFormat="1">
      <c r="B1" s="1325" t="s">
        <v>898</v>
      </c>
      <c r="C1" s="1325"/>
      <c r="D1" s="1325"/>
      <c r="E1" s="1325"/>
      <c r="F1" s="1325"/>
      <c r="G1" s="1325"/>
      <c r="H1" s="1325"/>
      <c r="I1" s="1325"/>
      <c r="J1" s="1325"/>
      <c r="K1" s="1325"/>
      <c r="L1" s="1325"/>
      <c r="M1" s="1325"/>
      <c r="N1" s="1325"/>
      <c r="O1" s="1325"/>
      <c r="P1" s="1325"/>
      <c r="Q1" s="1325"/>
      <c r="R1" s="1325"/>
      <c r="S1" s="1325"/>
      <c r="T1" s="1325"/>
      <c r="U1" s="1325"/>
      <c r="V1" s="1325"/>
    </row>
    <row r="2" spans="1:57" s="476" customFormat="1">
      <c r="B2" s="1325" t="s">
        <v>529</v>
      </c>
      <c r="C2" s="1325"/>
      <c r="D2" s="1325"/>
      <c r="E2" s="1325"/>
      <c r="F2" s="1325"/>
      <c r="G2" s="1325"/>
      <c r="H2" s="1325"/>
      <c r="I2" s="1325"/>
      <c r="J2" s="1325"/>
      <c r="K2" s="1325"/>
      <c r="L2" s="1325"/>
      <c r="M2" s="1325"/>
      <c r="N2" s="1325"/>
      <c r="O2" s="1325"/>
      <c r="P2" s="1325"/>
      <c r="Q2" s="1325"/>
      <c r="R2" s="1325"/>
      <c r="S2" s="1325"/>
      <c r="T2" s="1325"/>
      <c r="U2" s="1325"/>
      <c r="V2" s="1325"/>
    </row>
    <row r="3" spans="1:57" s="476" customFormat="1">
      <c r="B3" s="1321" t="s">
        <v>538</v>
      </c>
      <c r="C3" s="1321"/>
      <c r="D3" s="1321"/>
      <c r="E3" s="1321"/>
      <c r="F3" s="1321"/>
      <c r="G3" s="1321"/>
      <c r="H3" s="1321"/>
      <c r="I3" s="1321"/>
      <c r="J3" s="1321"/>
      <c r="K3" s="1321"/>
      <c r="L3" s="1321"/>
      <c r="M3" s="1321"/>
      <c r="N3" s="1321"/>
      <c r="O3" s="1321"/>
      <c r="P3" s="1321"/>
      <c r="Q3" s="1321"/>
      <c r="R3" s="1321"/>
      <c r="S3" s="1321"/>
      <c r="T3" s="1321"/>
      <c r="U3" s="1321"/>
      <c r="V3" s="1321"/>
    </row>
    <row r="4" spans="1:57" s="476" customFormat="1">
      <c r="B4" s="1321" t="s">
        <v>1347</v>
      </c>
      <c r="C4" s="1321"/>
      <c r="D4" s="1321"/>
      <c r="E4" s="1321"/>
      <c r="F4" s="1321"/>
      <c r="G4" s="1321"/>
      <c r="H4" s="1321"/>
      <c r="I4" s="1321"/>
      <c r="J4" s="1321"/>
      <c r="K4" s="1321"/>
      <c r="L4" s="1321"/>
      <c r="M4" s="1321"/>
      <c r="N4" s="1321"/>
      <c r="O4" s="1321"/>
      <c r="P4" s="1321"/>
      <c r="Q4" s="1321"/>
      <c r="R4" s="1321"/>
      <c r="S4" s="1321"/>
      <c r="T4" s="1321"/>
      <c r="U4" s="1321"/>
      <c r="V4" s="1321"/>
    </row>
    <row r="5" spans="1:57" s="476" customFormat="1">
      <c r="A5" s="543"/>
      <c r="B5" s="1320" t="s">
        <v>490</v>
      </c>
      <c r="C5" s="1320"/>
      <c r="D5" s="1320"/>
      <c r="E5" s="1320"/>
      <c r="F5" s="1320"/>
      <c r="G5" s="1320"/>
      <c r="H5" s="1320"/>
      <c r="I5" s="1320"/>
      <c r="J5" s="1320"/>
      <c r="K5" s="1320"/>
      <c r="L5" s="1320"/>
      <c r="M5" s="1320"/>
      <c r="N5" s="1320"/>
      <c r="O5" s="1320"/>
      <c r="P5" s="1320"/>
      <c r="Q5" s="1320"/>
      <c r="R5" s="1320"/>
      <c r="S5" s="1320"/>
      <c r="T5" s="1320"/>
      <c r="U5" s="1320"/>
      <c r="V5" s="1320"/>
    </row>
    <row r="6" spans="1:57" s="1298" customFormat="1" ht="18.75" customHeight="1">
      <c r="A6" s="543"/>
      <c r="B6" s="1321" t="s">
        <v>539</v>
      </c>
      <c r="C6" s="1321"/>
      <c r="D6" s="1321"/>
      <c r="E6" s="1321"/>
      <c r="F6" s="1321"/>
      <c r="G6" s="1321"/>
      <c r="H6" s="1321"/>
      <c r="I6" s="1321"/>
      <c r="J6" s="1321"/>
      <c r="K6" s="1321"/>
      <c r="L6" s="1321"/>
      <c r="M6" s="1321"/>
      <c r="N6" s="1321"/>
      <c r="O6" s="1321"/>
      <c r="P6" s="1321"/>
      <c r="Q6" s="1321"/>
      <c r="R6" s="1321"/>
      <c r="S6" s="1321"/>
      <c r="T6" s="1321"/>
      <c r="U6" s="1321"/>
      <c r="V6" s="1321"/>
    </row>
    <row r="7" spans="1:57" s="1298" customFormat="1" ht="18.75" customHeight="1">
      <c r="A7" s="543"/>
      <c r="B7" s="1292"/>
      <c r="C7" s="1292"/>
      <c r="D7" s="1294"/>
      <c r="E7" s="1295"/>
      <c r="F7" s="1295"/>
      <c r="G7" s="1296"/>
      <c r="H7" s="1297"/>
      <c r="I7" s="1297"/>
      <c r="J7" s="1297"/>
      <c r="K7" s="1297"/>
      <c r="L7" s="1297"/>
      <c r="M7" s="1297"/>
      <c r="N7" s="1297"/>
      <c r="O7" s="1297"/>
    </row>
    <row r="8" spans="1:57" ht="73.5" customHeight="1">
      <c r="A8" s="1293" t="s">
        <v>796</v>
      </c>
      <c r="B8" s="1041" t="s">
        <v>32</v>
      </c>
      <c r="C8" s="1041" t="s">
        <v>181</v>
      </c>
      <c r="D8" s="1040" t="s">
        <v>183</v>
      </c>
      <c r="E8" s="1042" t="s">
        <v>182</v>
      </c>
      <c r="F8" s="1042"/>
      <c r="G8" s="1040" t="s">
        <v>183</v>
      </c>
      <c r="H8" s="1040" t="s">
        <v>183</v>
      </c>
      <c r="I8" s="1040" t="s">
        <v>183</v>
      </c>
      <c r="J8" s="1040" t="s">
        <v>183</v>
      </c>
      <c r="K8" s="1040" t="s">
        <v>183</v>
      </c>
      <c r="L8" s="1040" t="s">
        <v>183</v>
      </c>
      <c r="M8" s="1040" t="s">
        <v>183</v>
      </c>
      <c r="N8" s="1040" t="s">
        <v>183</v>
      </c>
      <c r="O8" s="1040" t="s">
        <v>183</v>
      </c>
      <c r="P8" s="1040" t="s">
        <v>183</v>
      </c>
      <c r="Q8" s="1040" t="s">
        <v>183</v>
      </c>
      <c r="R8" s="1040" t="s">
        <v>183</v>
      </c>
      <c r="S8" s="1040" t="s">
        <v>183</v>
      </c>
      <c r="T8" s="1040" t="s">
        <v>183</v>
      </c>
      <c r="U8" s="1040" t="s">
        <v>183</v>
      </c>
      <c r="V8" s="1040" t="s">
        <v>183</v>
      </c>
      <c r="AZ8" s="475"/>
      <c r="BA8" s="475"/>
      <c r="BB8" s="475"/>
      <c r="BC8" s="475"/>
      <c r="BD8" s="475"/>
      <c r="BE8" s="475"/>
    </row>
    <row r="9" spans="1:57" ht="25.5">
      <c r="A9" s="991" t="s">
        <v>796</v>
      </c>
      <c r="B9" s="996"/>
      <c r="C9" s="1043" t="s">
        <v>184</v>
      </c>
      <c r="D9" s="1015">
        <f>IF(Ingresos!$E$10=0,Ingresos!$B$10+1,Ingresos!$B$10)</f>
        <v>2006</v>
      </c>
      <c r="E9" s="1013">
        <f>IF(Ingresos!$E$10=0,Ingresos!$B$10+1,Ingresos!$B$10)</f>
        <v>2006</v>
      </c>
      <c r="F9" s="1014"/>
      <c r="G9" s="1044">
        <f>+D9+1</f>
        <v>2007</v>
      </c>
      <c r="H9" s="1044">
        <f>+G9+1</f>
        <v>2008</v>
      </c>
      <c r="I9" s="1044">
        <f t="shared" ref="I9:O9" si="0">+H9+1</f>
        <v>2009</v>
      </c>
      <c r="J9" s="1044">
        <f t="shared" si="0"/>
        <v>2010</v>
      </c>
      <c r="K9" s="1044">
        <f t="shared" si="0"/>
        <v>2011</v>
      </c>
      <c r="L9" s="1044">
        <f t="shared" si="0"/>
        <v>2012</v>
      </c>
      <c r="M9" s="1044">
        <f t="shared" si="0"/>
        <v>2013</v>
      </c>
      <c r="N9" s="1044">
        <f t="shared" si="0"/>
        <v>2014</v>
      </c>
      <c r="O9" s="1044">
        <f t="shared" si="0"/>
        <v>2015</v>
      </c>
      <c r="P9" s="1044">
        <f t="shared" ref="P9:U9" si="1">+O9+1</f>
        <v>2016</v>
      </c>
      <c r="Q9" s="1044">
        <f t="shared" si="1"/>
        <v>2017</v>
      </c>
      <c r="R9" s="1044">
        <f t="shared" si="1"/>
        <v>2018</v>
      </c>
      <c r="S9" s="1044">
        <f t="shared" si="1"/>
        <v>2019</v>
      </c>
      <c r="T9" s="1044">
        <f t="shared" si="1"/>
        <v>2020</v>
      </c>
      <c r="U9" s="1044">
        <f t="shared" si="1"/>
        <v>2021</v>
      </c>
      <c r="V9" s="1044">
        <f>+U9+1</f>
        <v>2022</v>
      </c>
      <c r="AZ9" s="475"/>
      <c r="BA9" s="475"/>
      <c r="BB9" s="475"/>
      <c r="BC9" s="475"/>
      <c r="BD9" s="475"/>
      <c r="BE9" s="475"/>
    </row>
    <row r="10" spans="1:57" s="524" customFormat="1" ht="21" customHeight="1">
      <c r="A10" s="1032" t="s">
        <v>808</v>
      </c>
      <c r="B10" s="997" t="s">
        <v>185</v>
      </c>
      <c r="C10" s="1017">
        <f>SUM(C11:C15)</f>
        <v>2620379</v>
      </c>
      <c r="D10" s="1017">
        <f>SUM(D11:D15)</f>
        <v>2725194.16</v>
      </c>
      <c r="E10" s="1017">
        <f>SUM(E11:E15)</f>
        <v>2725194.16</v>
      </c>
      <c r="F10" s="1018"/>
      <c r="G10" s="1045">
        <f t="shared" ref="G10:O10" si="2">SUM(G11:G15)</f>
        <v>5400742.3824000005</v>
      </c>
      <c r="H10" s="1045">
        <f t="shared" si="2"/>
        <v>5741239</v>
      </c>
      <c r="I10" s="1045">
        <f t="shared" si="2"/>
        <v>5672107.3600000003</v>
      </c>
      <c r="J10" s="1045">
        <f t="shared" si="2"/>
        <v>5898991.6543999994</v>
      </c>
      <c r="K10" s="1045">
        <f t="shared" si="2"/>
        <v>6134951.320576</v>
      </c>
      <c r="L10" s="1045">
        <f t="shared" si="2"/>
        <v>6428349.3726950409</v>
      </c>
      <c r="M10" s="1045">
        <f t="shared" si="2"/>
        <v>6685483.3476028424</v>
      </c>
      <c r="N10" s="1045">
        <f t="shared" si="2"/>
        <v>6952902.6815069569</v>
      </c>
      <c r="O10" s="1045">
        <f t="shared" si="2"/>
        <v>7231018.7887672344</v>
      </c>
      <c r="P10" s="1045">
        <f t="shared" ref="P10:U10" si="3">SUM(P11:P15)</f>
        <v>7520259.5403179247</v>
      </c>
      <c r="Q10" s="1045">
        <f t="shared" si="3"/>
        <v>7821069.9219306409</v>
      </c>
      <c r="R10" s="1045">
        <f t="shared" si="3"/>
        <v>8133912.7188078668</v>
      </c>
      <c r="S10" s="1045">
        <f t="shared" si="3"/>
        <v>8459269.2275601812</v>
      </c>
      <c r="T10" s="1045">
        <f t="shared" si="3"/>
        <v>8797639.9966625907</v>
      </c>
      <c r="U10" s="1045">
        <f t="shared" si="3"/>
        <v>9149545.5965290926</v>
      </c>
      <c r="V10" s="1045">
        <f>SUM(V11:V15)</f>
        <v>9515527.4203902576</v>
      </c>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row>
    <row r="11" spans="1:57" s="524" customFormat="1" ht="21" customHeight="1">
      <c r="A11" s="1033" t="s">
        <v>186</v>
      </c>
      <c r="B11" s="1000" t="s">
        <v>187</v>
      </c>
      <c r="C11" s="1001">
        <f>+Ingresos!M29</f>
        <v>169089</v>
      </c>
      <c r="D11" s="1001">
        <f>+C11*$D$23</f>
        <v>175852.56</v>
      </c>
      <c r="E11" s="1001">
        <f>+D11</f>
        <v>175852.56</v>
      </c>
      <c r="F11" s="1019"/>
      <c r="G11" s="1046">
        <f>+'Ingresos Proyecciones'!H13</f>
        <v>202886.66240000003</v>
      </c>
      <c r="H11" s="1046">
        <f>+'Ingresos Proyecciones'!I13</f>
        <v>212457</v>
      </c>
      <c r="I11" s="1046">
        <f>+'Ingresos Proyecciones'!J13</f>
        <v>400955.28</v>
      </c>
      <c r="J11" s="1046">
        <f>+'Ingresos Proyecciones'!K13</f>
        <v>416993.49119999999</v>
      </c>
      <c r="K11" s="1046">
        <f>+'Ingresos Proyecciones'!L13</f>
        <v>433673.23084800004</v>
      </c>
      <c r="L11" s="1046">
        <f>+'Ingresos Proyecciones'!M13</f>
        <v>260544.64008192002</v>
      </c>
      <c r="M11" s="1046">
        <f>+'Ingresos Proyecciones'!N13</f>
        <v>270966.42568519682</v>
      </c>
      <c r="N11" s="1046">
        <f>+'Ingresos Proyecciones'!O13</f>
        <v>281805.08271260472</v>
      </c>
      <c r="O11" s="1046">
        <f>+'Ingresos Proyecciones'!P13</f>
        <v>293077.28602110886</v>
      </c>
      <c r="P11" s="1046">
        <f>+'Ingresos Proyecciones'!Q13</f>
        <v>304800.37746195326</v>
      </c>
      <c r="Q11" s="1046">
        <f>+'Ingresos Proyecciones'!R13</f>
        <v>316992.39256043144</v>
      </c>
      <c r="R11" s="1046">
        <f>+'Ingresos Proyecciones'!S13</f>
        <v>329672.08826284861</v>
      </c>
      <c r="S11" s="1046">
        <f>+'Ingresos Proyecciones'!T13</f>
        <v>342858.97179336258</v>
      </c>
      <c r="T11" s="1046">
        <f>+'Ingresos Proyecciones'!U13</f>
        <v>356573.33066509711</v>
      </c>
      <c r="U11" s="1046">
        <f>+'Ingresos Proyecciones'!V13</f>
        <v>370836.26389170112</v>
      </c>
      <c r="V11" s="1046">
        <f>+'Ingresos Proyecciones'!W13</f>
        <v>385669.7144473691</v>
      </c>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3"/>
      <c r="AY11" s="523"/>
    </row>
    <row r="12" spans="1:57" s="524" customFormat="1" ht="21" customHeight="1">
      <c r="A12" s="1033" t="s">
        <v>188</v>
      </c>
      <c r="B12" s="1003" t="s">
        <v>189</v>
      </c>
      <c r="C12" s="1001">
        <f>+Ingresos!M50-Ingresos!M57-Ingresos!M82</f>
        <v>65700</v>
      </c>
      <c r="D12" s="1001">
        <f>+C12*$D$23</f>
        <v>68328</v>
      </c>
      <c r="E12" s="1001">
        <f>+D12</f>
        <v>68328</v>
      </c>
      <c r="F12" s="1019"/>
      <c r="G12" s="1046">
        <f>+'Ingresos Proyecciones'!H36+'Ingresos Proyecciones'!H37+'Ingresos Proyecciones'!H70</f>
        <v>78632.319999999992</v>
      </c>
      <c r="H12" s="1046">
        <f>+'Ingresos Proyecciones'!I36+'Ingresos Proyecciones'!I37</f>
        <v>73903</v>
      </c>
      <c r="I12" s="1046">
        <f>+'Ingresos Proyecciones'!J36+'Ingresos Proyecciones'!J37</f>
        <v>30064.120000000003</v>
      </c>
      <c r="J12" s="1046">
        <f>+'Ingresos Proyecciones'!K36+'Ingresos Proyecciones'!K37</f>
        <v>31266.684800000003</v>
      </c>
      <c r="K12" s="1046">
        <f>+'Ingresos Proyecciones'!L36+'Ingresos Proyecciones'!L37</f>
        <v>32517.352192000006</v>
      </c>
      <c r="L12" s="1046">
        <f>+'Ingresos Proyecciones'!M36+'Ingresos Proyecciones'!M37+'Ingresos Proyecciones'!M74</f>
        <v>236293.04627968001</v>
      </c>
      <c r="M12" s="1046">
        <f>+'Ingresos Proyecciones'!N36+'Ingresos Proyecciones'!N37+'Ingresos Proyecciones'!N74</f>
        <v>245744.76813086722</v>
      </c>
      <c r="N12" s="1046">
        <f>+'Ingresos Proyecciones'!O36+'Ingresos Proyecciones'!O37+'Ingresos Proyecciones'!O74</f>
        <v>255574.55885610191</v>
      </c>
      <c r="O12" s="1046">
        <f>+'Ingresos Proyecciones'!P36+'Ingresos Proyecciones'!P37+'Ingresos Proyecciones'!P74</f>
        <v>265797.54121034598</v>
      </c>
      <c r="P12" s="1046">
        <f>+'Ingresos Proyecciones'!Q36+'Ingresos Proyecciones'!Q37+'Ingresos Proyecciones'!Q74</f>
        <v>276429.44285875984</v>
      </c>
      <c r="Q12" s="1046">
        <f>+'Ingresos Proyecciones'!R36+'Ingresos Proyecciones'!R37+'Ingresos Proyecciones'!R74</f>
        <v>287486.62057311024</v>
      </c>
      <c r="R12" s="1046">
        <f>+'Ingresos Proyecciones'!S36+'Ingresos Proyecciones'!S37+'Ingresos Proyecciones'!S74</f>
        <v>298986.08539603464</v>
      </c>
      <c r="S12" s="1046">
        <f>+'Ingresos Proyecciones'!T36+'Ingresos Proyecciones'!T37+'Ingresos Proyecciones'!T74</f>
        <v>310945.52881187602</v>
      </c>
      <c r="T12" s="1046">
        <f>+'Ingresos Proyecciones'!U36+'Ingresos Proyecciones'!U37+'Ingresos Proyecciones'!U74</f>
        <v>323383.34996435104</v>
      </c>
      <c r="U12" s="1046">
        <f>+'Ingresos Proyecciones'!V36+'Ingresos Proyecciones'!V37+'Ingresos Proyecciones'!V74</f>
        <v>336318.6839629251</v>
      </c>
      <c r="V12" s="1046">
        <f>+'Ingresos Proyecciones'!W36+'Ingresos Proyecciones'!W37+'Ingresos Proyecciones'!W74</f>
        <v>349771.43132144219</v>
      </c>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3"/>
      <c r="AS12" s="523"/>
      <c r="AT12" s="523"/>
      <c r="AU12" s="523"/>
      <c r="AV12" s="523"/>
      <c r="AW12" s="523"/>
      <c r="AX12" s="523"/>
      <c r="AY12" s="523"/>
    </row>
    <row r="13" spans="1:57" s="524" customFormat="1" ht="21" customHeight="1">
      <c r="A13" s="994" t="s">
        <v>190</v>
      </c>
      <c r="B13" s="1003" t="s">
        <v>191</v>
      </c>
      <c r="C13" s="1001">
        <f>+Ingresos!M57-Ingresos!M62-Ingresos!M65-Ingresos!M72-Ingresos!M74-Ingresos!M81</f>
        <v>2385090</v>
      </c>
      <c r="D13" s="1001">
        <f>+C13*$D$23</f>
        <v>2480493.6</v>
      </c>
      <c r="E13" s="1001">
        <f>+D13-(Gastos!P53*D23)</f>
        <v>2480493.6</v>
      </c>
      <c r="F13" s="1019"/>
      <c r="G13" s="1046">
        <f>+'Ingresos Proyecciones'!H43+'Ingresos Proyecciones'!H47+'Ingresos Proyecciones'!H52+'Ingresos Proyecciones'!H59+'Ingresos Proyecciones'!H64</f>
        <v>5090561</v>
      </c>
      <c r="H13" s="1046">
        <f>+'Ingresos Proyecciones'!I42</f>
        <v>5454317</v>
      </c>
      <c r="I13" s="1046">
        <f>+'Ingresos Proyecciones'!J42</f>
        <v>5236087.96</v>
      </c>
      <c r="J13" s="1046">
        <f>+'Ingresos Proyecciones'!K42</f>
        <v>5445531.4783999994</v>
      </c>
      <c r="K13" s="1046">
        <f>+'Ingresos Proyecciones'!L42</f>
        <v>5663352.7375360001</v>
      </c>
      <c r="L13" s="1046">
        <f>+'Ingresos Proyecciones'!M42</f>
        <v>5925886.6863334412</v>
      </c>
      <c r="M13" s="1046">
        <f>+'Ingresos Proyecciones'!N42</f>
        <v>6162922.1537867785</v>
      </c>
      <c r="N13" s="1046">
        <f>+'Ingresos Proyecciones'!O42</f>
        <v>6409439.0399382506</v>
      </c>
      <c r="O13" s="1046">
        <f>+'Ingresos Proyecciones'!P42</f>
        <v>6665816.6015357794</v>
      </c>
      <c r="P13" s="1046">
        <f>+'Ingresos Proyecciones'!Q42</f>
        <v>6932449.2655972112</v>
      </c>
      <c r="Q13" s="1046">
        <f>+'Ingresos Proyecciones'!R42</f>
        <v>7209747.2362210993</v>
      </c>
      <c r="R13" s="1046">
        <f>+'Ingresos Proyecciones'!S42</f>
        <v>7498137.1256699432</v>
      </c>
      <c r="S13" s="1046">
        <f>+'Ingresos Proyecciones'!T42</f>
        <v>7798062.6106967404</v>
      </c>
      <c r="T13" s="1046">
        <f>+'Ingresos Proyecciones'!U42</f>
        <v>8109985.1151246112</v>
      </c>
      <c r="U13" s="1046">
        <f>+'Ingresos Proyecciones'!V42</f>
        <v>8434384.5197295956</v>
      </c>
      <c r="V13" s="1046">
        <f>+'Ingresos Proyecciones'!W42</f>
        <v>8771759.9005187806</v>
      </c>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row>
    <row r="14" spans="1:57" s="524" customFormat="1" ht="21" hidden="1" customHeight="1">
      <c r="A14" s="1033" t="s">
        <v>193</v>
      </c>
      <c r="B14" s="1003" t="s">
        <v>194</v>
      </c>
      <c r="C14" s="1001">
        <f>+Ingresos!M90</f>
        <v>0</v>
      </c>
      <c r="D14" s="1001">
        <f>+C14*$D$23</f>
        <v>0</v>
      </c>
      <c r="E14" s="1001">
        <f>+D14</f>
        <v>0</v>
      </c>
      <c r="F14" s="1019"/>
      <c r="G14" s="1046">
        <f>+D14*$G$23</f>
        <v>0</v>
      </c>
      <c r="H14" s="1046">
        <f t="shared" ref="H14:O14" si="4">+G14*$H$23</f>
        <v>0</v>
      </c>
      <c r="I14" s="1046">
        <f t="shared" si="4"/>
        <v>0</v>
      </c>
      <c r="J14" s="1046">
        <f t="shared" si="4"/>
        <v>0</v>
      </c>
      <c r="K14" s="1046">
        <f t="shared" si="4"/>
        <v>0</v>
      </c>
      <c r="L14" s="1046">
        <f t="shared" si="4"/>
        <v>0</v>
      </c>
      <c r="M14" s="1046">
        <f t="shared" si="4"/>
        <v>0</v>
      </c>
      <c r="N14" s="1046">
        <f t="shared" si="4"/>
        <v>0</v>
      </c>
      <c r="O14" s="1046">
        <f t="shared" si="4"/>
        <v>0</v>
      </c>
      <c r="P14" s="1046">
        <f t="shared" ref="P14:U14" si="5">+O14*$H$23</f>
        <v>0</v>
      </c>
      <c r="Q14" s="1046">
        <f t="shared" si="5"/>
        <v>0</v>
      </c>
      <c r="R14" s="1046">
        <f t="shared" si="5"/>
        <v>0</v>
      </c>
      <c r="S14" s="1046">
        <f t="shared" si="5"/>
        <v>0</v>
      </c>
      <c r="T14" s="1046">
        <f t="shared" si="5"/>
        <v>0</v>
      </c>
      <c r="U14" s="1046">
        <f t="shared" si="5"/>
        <v>0</v>
      </c>
      <c r="V14" s="1046">
        <f>+U14*$H$23</f>
        <v>0</v>
      </c>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3"/>
      <c r="AY14" s="523"/>
    </row>
    <row r="15" spans="1:57" s="524" customFormat="1" ht="21" customHeight="1">
      <c r="A15" s="994" t="s">
        <v>195</v>
      </c>
      <c r="B15" s="1003" t="s">
        <v>196</v>
      </c>
      <c r="C15" s="1001">
        <f>+Ingresos!M123</f>
        <v>500</v>
      </c>
      <c r="D15" s="1001">
        <f>+C15*$D$23</f>
        <v>520</v>
      </c>
      <c r="E15" s="1001">
        <f>+D15</f>
        <v>520</v>
      </c>
      <c r="F15" s="1019"/>
      <c r="G15" s="1046">
        <f>+'Ingresos Proyecciones'!H79</f>
        <v>28662.400000000001</v>
      </c>
      <c r="H15" s="1046">
        <f>+'Ingresos Proyecciones'!I79</f>
        <v>562</v>
      </c>
      <c r="I15" s="1046">
        <f>+'Ingresos Proyecciones'!J79</f>
        <v>5000</v>
      </c>
      <c r="J15" s="1046">
        <f>+'Ingresos Proyecciones'!K79</f>
        <v>5200</v>
      </c>
      <c r="K15" s="1046">
        <f>+'Ingresos Proyecciones'!L79</f>
        <v>5408</v>
      </c>
      <c r="L15" s="1046">
        <f>+'Ingresos Proyecciones'!M79</f>
        <v>5625</v>
      </c>
      <c r="M15" s="1046">
        <f>+'Ingresos Proyecciones'!N79</f>
        <v>5850</v>
      </c>
      <c r="N15" s="1046">
        <f>+'Ingresos Proyecciones'!O79</f>
        <v>6084</v>
      </c>
      <c r="O15" s="1046">
        <f>+'Ingresos Proyecciones'!P79</f>
        <v>6327.3600000000006</v>
      </c>
      <c r="P15" s="1046">
        <f>+'Ingresos Proyecciones'!Q79</f>
        <v>6580.4544000000005</v>
      </c>
      <c r="Q15" s="1046">
        <f>+'Ingresos Proyecciones'!R79</f>
        <v>6843.6725760000008</v>
      </c>
      <c r="R15" s="1046">
        <f>+'Ingresos Proyecciones'!S79</f>
        <v>7117.4194790400015</v>
      </c>
      <c r="S15" s="1046">
        <f>+'Ingresos Proyecciones'!T79</f>
        <v>7402.1162582016022</v>
      </c>
      <c r="T15" s="1046">
        <f>+'Ingresos Proyecciones'!U79</f>
        <v>7698.2009085296668</v>
      </c>
      <c r="U15" s="1046">
        <f>+'Ingresos Proyecciones'!V79</f>
        <v>8006.128944870854</v>
      </c>
      <c r="V15" s="1046">
        <f>+'Ingresos Proyecciones'!W79</f>
        <v>8326.374102665688</v>
      </c>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3"/>
      <c r="AY15" s="523"/>
    </row>
    <row r="16" spans="1:57" s="524" customFormat="1" ht="21" customHeight="1">
      <c r="A16" s="1032" t="s">
        <v>1064</v>
      </c>
      <c r="B16" s="1008" t="s">
        <v>138</v>
      </c>
      <c r="C16" s="1017" t="e">
        <f>SUM(C17:C21)</f>
        <v>#N/A</v>
      </c>
      <c r="D16" s="1017" t="e">
        <f>SUM(D17:D21)-1</f>
        <v>#N/A</v>
      </c>
      <c r="E16" s="1017" t="e">
        <f>SUM(E17:E21)</f>
        <v>#N/A</v>
      </c>
      <c r="F16" s="1018"/>
      <c r="G16" s="1017">
        <f t="shared" ref="G16:N16" si="6">SUM(G17:G21)-1</f>
        <v>512962</v>
      </c>
      <c r="H16" s="1017">
        <f t="shared" si="6"/>
        <v>749624</v>
      </c>
      <c r="I16" s="1017">
        <f t="shared" si="6"/>
        <v>617005.91999999993</v>
      </c>
      <c r="J16" s="1017">
        <f t="shared" si="6"/>
        <v>640647.1568</v>
      </c>
      <c r="K16" s="1017">
        <f t="shared" si="6"/>
        <v>666273.02752</v>
      </c>
      <c r="L16" s="1017">
        <f>SUM(L17:L21)</f>
        <v>711524.18862079992</v>
      </c>
      <c r="M16" s="1017">
        <f>SUM(M17:M21)</f>
        <v>739985.15616563195</v>
      </c>
      <c r="N16" s="1017">
        <f t="shared" si="6"/>
        <v>769583.56241225731</v>
      </c>
      <c r="O16" s="1017">
        <f t="shared" ref="O16:T16" si="7">SUM(O17:O21)</f>
        <v>800367.94490874768</v>
      </c>
      <c r="P16" s="1017">
        <f t="shared" si="7"/>
        <v>832382.66270509758</v>
      </c>
      <c r="Q16" s="1017">
        <f t="shared" si="7"/>
        <v>865677.96921330155</v>
      </c>
      <c r="R16" s="1017">
        <f t="shared" si="7"/>
        <v>900305.08798183361</v>
      </c>
      <c r="S16" s="1017">
        <f t="shared" si="7"/>
        <v>936317.29150110716</v>
      </c>
      <c r="T16" s="1017">
        <f t="shared" si="7"/>
        <v>973769.98316115129</v>
      </c>
      <c r="U16" s="1017">
        <f>SUM(U17:U21)</f>
        <v>1012720.7824875974</v>
      </c>
      <c r="V16" s="1017">
        <f>SUM(V17:V21)</f>
        <v>1053228.6137871016</v>
      </c>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3"/>
      <c r="AY16" s="523"/>
    </row>
    <row r="17" spans="1:51" s="524" customFormat="1" ht="21" customHeight="1">
      <c r="A17" s="994" t="s">
        <v>197</v>
      </c>
      <c r="B17" s="1003" t="s">
        <v>199</v>
      </c>
      <c r="C17" s="1001" t="e">
        <f>+Gastos!P27</f>
        <v>#N/A</v>
      </c>
      <c r="D17" s="1001" t="e">
        <f>+C17*$D$23</f>
        <v>#N/A</v>
      </c>
      <c r="E17" s="1001" t="e">
        <f>+D17</f>
        <v>#N/A</v>
      </c>
      <c r="F17" s="1001"/>
      <c r="G17" s="1046">
        <f>+'Ley 617'!U71</f>
        <v>248511</v>
      </c>
      <c r="H17" s="1046">
        <f>+'Gastos Proyecciones'!I16</f>
        <v>382218</v>
      </c>
      <c r="I17" s="1046">
        <f>+'Gastos Proyecciones'!J16</f>
        <v>242151</v>
      </c>
      <c r="J17" s="1046">
        <f>+'Gastos Proyecciones'!K16</f>
        <v>250798</v>
      </c>
      <c r="K17" s="1046">
        <f>+'Gastos Proyecciones'!L16</f>
        <v>302601</v>
      </c>
      <c r="L17" s="1046">
        <f>+'Gastos Proyecciones'!M16</f>
        <v>333304.24</v>
      </c>
      <c r="M17" s="1046">
        <f>+'Gastos Proyecciones'!N16</f>
        <v>346636.40959999996</v>
      </c>
      <c r="N17" s="1046">
        <f>+'Gastos Proyecciones'!O16</f>
        <v>360501.86598400003</v>
      </c>
      <c r="O17" s="1046">
        <f>+'Gastos Proyecciones'!P16</f>
        <v>374921.94062336005</v>
      </c>
      <c r="P17" s="1046">
        <f>+'Gastos Proyecciones'!Q16</f>
        <v>389918.81824829447</v>
      </c>
      <c r="Q17" s="1046">
        <f>+'Gastos Proyecciones'!R16</f>
        <v>405515.57097822626</v>
      </c>
      <c r="R17" s="1046">
        <f>+'Gastos Proyecciones'!S16</f>
        <v>421736.19381735526</v>
      </c>
      <c r="S17" s="1046">
        <f>+'Gastos Proyecciones'!T16</f>
        <v>438605.64157004951</v>
      </c>
      <c r="T17" s="1046">
        <f>+'Gastos Proyecciones'!U16</f>
        <v>456149.86723285151</v>
      </c>
      <c r="U17" s="1046">
        <f>+'Gastos Proyecciones'!V16</f>
        <v>474395.86192216561</v>
      </c>
      <c r="V17" s="1046">
        <f>+'Gastos Proyecciones'!W16</f>
        <v>493370.69639905228</v>
      </c>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row>
    <row r="18" spans="1:51" s="524" customFormat="1" ht="21" customHeight="1">
      <c r="A18" s="994" t="s">
        <v>200</v>
      </c>
      <c r="B18" s="1003" t="s">
        <v>201</v>
      </c>
      <c r="C18" s="1001" t="e">
        <f>+Gastos!P42</f>
        <v>#N/A</v>
      </c>
      <c r="D18" s="1001" t="e">
        <f>+C18*$D$23</f>
        <v>#N/A</v>
      </c>
      <c r="E18" s="1001" t="e">
        <f>+D18</f>
        <v>#N/A</v>
      </c>
      <c r="F18" s="1001"/>
      <c r="G18" s="1046">
        <f>+'Ley 617'!U72</f>
        <v>112000</v>
      </c>
      <c r="H18" s="1046">
        <f>+'Gastos Proyecciones'!I26</f>
        <v>93192</v>
      </c>
      <c r="I18" s="1046">
        <f>+'Gastos Proyecciones'!J26</f>
        <v>93192</v>
      </c>
      <c r="J18" s="1046">
        <f>+'Gastos Proyecciones'!K26</f>
        <v>96919.679999999993</v>
      </c>
      <c r="K18" s="1046">
        <f>+'Gastos Proyecciones'!L26</f>
        <v>91500</v>
      </c>
      <c r="L18" s="1046">
        <f>+'Gastos Proyecciones'!M26</f>
        <v>95160</v>
      </c>
      <c r="M18" s="1046">
        <f>+'Gastos Proyecciones'!N26</f>
        <v>98966.399999999994</v>
      </c>
      <c r="N18" s="1046">
        <f>+'Gastos Proyecciones'!O26</f>
        <v>102925.056</v>
      </c>
      <c r="O18" s="1046">
        <f>+'Gastos Proyecciones'!P26</f>
        <v>107042.05824</v>
      </c>
      <c r="P18" s="1046">
        <f>+'Gastos Proyecciones'!Q26</f>
        <v>111323.74056959999</v>
      </c>
      <c r="Q18" s="1046">
        <f>+'Gastos Proyecciones'!R26</f>
        <v>115776.69019238401</v>
      </c>
      <c r="R18" s="1046">
        <f>+'Gastos Proyecciones'!S26</f>
        <v>120407.75780007937</v>
      </c>
      <c r="S18" s="1046">
        <f>+'Gastos Proyecciones'!T26</f>
        <v>125224.06811208255</v>
      </c>
      <c r="T18" s="1046">
        <f>+'Gastos Proyecciones'!U26</f>
        <v>130233.03083656586</v>
      </c>
      <c r="U18" s="1046">
        <f>+'Gastos Proyecciones'!V26</f>
        <v>135442.35207002849</v>
      </c>
      <c r="V18" s="1046">
        <f>+'Gastos Proyecciones'!W26</f>
        <v>140860.04615282963</v>
      </c>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3"/>
      <c r="AW18" s="523"/>
      <c r="AX18" s="523"/>
      <c r="AY18" s="523"/>
    </row>
    <row r="19" spans="1:51" s="524" customFormat="1" ht="21" customHeight="1">
      <c r="A19" s="994" t="s">
        <v>202</v>
      </c>
      <c r="B19" s="1003" t="s">
        <v>1175</v>
      </c>
      <c r="C19" s="1001">
        <f>+Gastos!P46-Gastos!P66+Gastos!P224+Gastos!P232</f>
        <v>275959.52</v>
      </c>
      <c r="D19" s="1001">
        <v>159862</v>
      </c>
      <c r="E19" s="1001">
        <f>+D19-(Gastos!P53*D23)</f>
        <v>159862</v>
      </c>
      <c r="F19" s="1001"/>
      <c r="G19" s="1046">
        <f>+'Ley 617'!U73</f>
        <v>152452</v>
      </c>
      <c r="H19" s="1046">
        <f>+'Gastos Proyecciones'!I29+'Gastos Proyecciones'!I187</f>
        <v>274215</v>
      </c>
      <c r="I19" s="1046">
        <f>+'Gastos Proyecciones'!J29+'Gastos Proyecciones'!J187</f>
        <v>281663.92</v>
      </c>
      <c r="J19" s="1046">
        <f>+'Gastos Proyecciones'!K29+'Gastos Proyecciones'!K187</f>
        <v>292930.4768</v>
      </c>
      <c r="K19" s="1046">
        <f>+'Gastos Proyecciones'!L29+'Gastos Proyecciones'!L187</f>
        <v>272173.02752</v>
      </c>
      <c r="L19" s="1046">
        <f>+'Gastos Proyecciones'!M29+'Gastos Proyecciones'!M187</f>
        <v>283059.94862079999</v>
      </c>
      <c r="M19" s="1046">
        <f>+'Gastos Proyecciones'!N29+'Gastos Proyecciones'!N187</f>
        <v>294382.34656563203</v>
      </c>
      <c r="N19" s="1046">
        <f>+'Gastos Proyecciones'!O29+'Gastos Proyecciones'!O187</f>
        <v>306157.64042825729</v>
      </c>
      <c r="O19" s="1046">
        <f>+'Gastos Proyecciones'!P29+'Gastos Proyecciones'!P187</f>
        <v>318403.94604538765</v>
      </c>
      <c r="P19" s="1046">
        <f>+'Gastos Proyecciones'!Q29+'Gastos Proyecciones'!Q187</f>
        <v>331140.10388720315</v>
      </c>
      <c r="Q19" s="1046">
        <f>+'Gastos Proyecciones'!R29+'Gastos Proyecciones'!R187</f>
        <v>344385.70804269129</v>
      </c>
      <c r="R19" s="1046">
        <f>+'Gastos Proyecciones'!S29+'Gastos Proyecciones'!S187</f>
        <v>358161.13636439899</v>
      </c>
      <c r="S19" s="1046">
        <f>+'Gastos Proyecciones'!T29+'Gastos Proyecciones'!T187</f>
        <v>372487.58181897498</v>
      </c>
      <c r="T19" s="1046">
        <f>+'Gastos Proyecciones'!U29+'Gastos Proyecciones'!U187</f>
        <v>387387.08509173396</v>
      </c>
      <c r="U19" s="1046">
        <f>+'Gastos Proyecciones'!V29+'Gastos Proyecciones'!V187</f>
        <v>402882.56849540339</v>
      </c>
      <c r="V19" s="1046">
        <f>+'Gastos Proyecciones'!W29+'Gastos Proyecciones'!W187</f>
        <v>418997.87123521953</v>
      </c>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23"/>
      <c r="AW19" s="523"/>
      <c r="AX19" s="523"/>
      <c r="AY19" s="523"/>
    </row>
    <row r="20" spans="1:51" s="524" customFormat="1" ht="21" hidden="1" customHeight="1">
      <c r="A20" s="994" t="s">
        <v>203</v>
      </c>
      <c r="B20" s="1003" t="s">
        <v>204</v>
      </c>
      <c r="C20" s="1001">
        <f>+Gastos!P91+Gastos!P128+Gastos!P165</f>
        <v>0</v>
      </c>
      <c r="D20" s="1001">
        <f>+C20*$D$23</f>
        <v>0</v>
      </c>
      <c r="E20" s="1001">
        <f>+D20</f>
        <v>0</v>
      </c>
      <c r="F20" s="1003"/>
      <c r="G20" s="1046">
        <f>+D20*$G$23</f>
        <v>0</v>
      </c>
      <c r="H20" s="1046">
        <f>+G20*$H$23</f>
        <v>0</v>
      </c>
      <c r="I20" s="1046">
        <f>+H20*$I$23</f>
        <v>0</v>
      </c>
      <c r="J20" s="1046">
        <f>+I20*$J$23</f>
        <v>0</v>
      </c>
      <c r="K20" s="1046">
        <f>+J20*$K$23</f>
        <v>0</v>
      </c>
      <c r="L20" s="1046">
        <f>+K20*$L$23</f>
        <v>0</v>
      </c>
      <c r="M20" s="1046">
        <f>+L20*$M$23</f>
        <v>0</v>
      </c>
      <c r="N20" s="1046">
        <f>+M20*$N$23</f>
        <v>0</v>
      </c>
      <c r="O20" s="1046">
        <f t="shared" ref="O20:T20" si="8">+N20*$O$23</f>
        <v>0</v>
      </c>
      <c r="P20" s="1046">
        <f t="shared" si="8"/>
        <v>0</v>
      </c>
      <c r="Q20" s="1046">
        <f t="shared" si="8"/>
        <v>0</v>
      </c>
      <c r="R20" s="1046">
        <f t="shared" si="8"/>
        <v>0</v>
      </c>
      <c r="S20" s="1046">
        <f t="shared" si="8"/>
        <v>0</v>
      </c>
      <c r="T20" s="1046">
        <f t="shared" si="8"/>
        <v>0</v>
      </c>
      <c r="U20" s="1046">
        <f>+T20*$O$23</f>
        <v>0</v>
      </c>
      <c r="V20" s="1046">
        <f>+U20*$O$23</f>
        <v>0</v>
      </c>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row>
    <row r="21" spans="1:51" s="524" customFormat="1" ht="21" hidden="1" customHeight="1">
      <c r="A21" s="993" t="s">
        <v>205</v>
      </c>
      <c r="B21" s="1003" t="s">
        <v>206</v>
      </c>
      <c r="C21" s="1001">
        <f>+Gastos!P71</f>
        <v>0</v>
      </c>
      <c r="D21" s="1001">
        <f>VLOOKUP(A21,'Pasivo a Cancelar y Deuda'!$A$2:$Q$2,LOOKUP($D$9,'Pasivo a Cancelar y Deuda'!$C$1:$Q$1,'Pasivo a Cancelar y Deuda'!$C$102:$Q$102),FALSE)</f>
        <v>0</v>
      </c>
      <c r="E21" s="1001">
        <f>+D21</f>
        <v>0</v>
      </c>
      <c r="F21" s="1003"/>
      <c r="G21" s="1046">
        <f>+VLOOKUP($A$21,'Pasivo a Cancelar y Deuda'!$A$2:$Q$2,LOOKUP(G9,'Pasivo a Cancelar y Deuda'!$C$1:$Q$1,'Pasivo a Cancelar y Deuda'!$C$102:$Q$102),FALSE)</f>
        <v>0</v>
      </c>
      <c r="H21" s="1046">
        <f>+VLOOKUP($A$21,'Pasivo a Cancelar y Deuda'!$A$2:$Q$2,LOOKUP(H9,'Pasivo a Cancelar y Deuda'!$C$1:$Q$1,'Pasivo a Cancelar y Deuda'!$C$102:$Q$102),FALSE)</f>
        <v>0</v>
      </c>
      <c r="I21" s="1046">
        <f>+VLOOKUP($A$21,'Pasivo a Cancelar y Deuda'!$A$2:$Q$2,LOOKUP(I9,'Pasivo a Cancelar y Deuda'!$C$1:$Q$1,'Pasivo a Cancelar y Deuda'!$C$102:$Q$102),FALSE)</f>
        <v>0</v>
      </c>
      <c r="J21" s="1046">
        <f>+VLOOKUP($A$21,'Pasivo a Cancelar y Deuda'!$A$2:$Q$2,LOOKUP(J9,'Pasivo a Cancelar y Deuda'!$C$1:$Q$1,'Pasivo a Cancelar y Deuda'!$C$102:$Q$102),FALSE)</f>
        <v>0</v>
      </c>
      <c r="K21" s="1046">
        <f>+VLOOKUP($A$21,'Pasivo a Cancelar y Deuda'!$A$2:$Q$2,LOOKUP(K9,'Pasivo a Cancelar y Deuda'!$C$1:$Q$1,'Pasivo a Cancelar y Deuda'!$C$102:$Q$102),FALSE)</f>
        <v>0</v>
      </c>
      <c r="L21" s="1046">
        <f>+VLOOKUP($A$21,'Pasivo a Cancelar y Deuda'!$A$2:$Q$2,LOOKUP(L9,'Pasivo a Cancelar y Deuda'!$C$1:$Q$1,'Pasivo a Cancelar y Deuda'!$C$102:$Q$102),FALSE)</f>
        <v>0</v>
      </c>
      <c r="M21" s="1046">
        <f>+VLOOKUP($A$21,'Pasivo a Cancelar y Deuda'!$A$2:$Q$2,LOOKUP(M9,'Pasivo a Cancelar y Deuda'!$C$1:$Q$1,'Pasivo a Cancelar y Deuda'!$C$102:$Q$102),FALSE)</f>
        <v>0</v>
      </c>
      <c r="N21" s="1046">
        <f>+VLOOKUP($A$21,'Pasivo a Cancelar y Deuda'!$A$2:$Q$2,LOOKUP(N9,'Pasivo a Cancelar y Deuda'!$C$1:$Q$1,'Pasivo a Cancelar y Deuda'!$C$102:$Q$102),FALSE)</f>
        <v>0</v>
      </c>
      <c r="O21" s="1046">
        <f>+VLOOKUP($A$21,'Pasivo a Cancelar y Deuda'!$A$2:$Q$2,LOOKUP(O9,'Pasivo a Cancelar y Deuda'!$C$1:$Q$1,'Pasivo a Cancelar y Deuda'!$C$102:$Q$102),FALSE)</f>
        <v>0</v>
      </c>
      <c r="P21" s="1046">
        <f>+VLOOKUP($A$21,'Pasivo a Cancelar y Deuda'!$A$2:$Q$2,LOOKUP(P9,'Pasivo a Cancelar y Deuda'!$C$1:$Q$1,'Pasivo a Cancelar y Deuda'!$C$102:$Q$102),FALSE)</f>
        <v>0</v>
      </c>
      <c r="Q21" s="1046">
        <f>+VLOOKUP($A$21,'Pasivo a Cancelar y Deuda'!$A$2:$Q$2,LOOKUP(Q9,'Pasivo a Cancelar y Deuda'!$C$1:$Q$1,'Pasivo a Cancelar y Deuda'!$C$102:$Q$102),FALSE)</f>
        <v>0</v>
      </c>
      <c r="R21" s="1046">
        <f>+VLOOKUP($A$21,'Pasivo a Cancelar y Deuda'!$A$2:$Q$2,LOOKUP(R9,'Pasivo a Cancelar y Deuda'!$C$1:$Q$1,'Pasivo a Cancelar y Deuda'!$C$102:$Q$102),FALSE)</f>
        <v>0</v>
      </c>
      <c r="S21" s="1046">
        <f>+VLOOKUP($A$21,'Pasivo a Cancelar y Deuda'!$A$2:$Q$2,LOOKUP(S9,'Pasivo a Cancelar y Deuda'!$C$1:$Q$1,'Pasivo a Cancelar y Deuda'!$C$102:$Q$102),FALSE)</f>
        <v>0</v>
      </c>
      <c r="T21" s="1046">
        <f>+VLOOKUP($A$21,'Pasivo a Cancelar y Deuda'!$A$2:$Q$2,LOOKUP(T9,'Pasivo a Cancelar y Deuda'!$C$1:$Q$1,'Pasivo a Cancelar y Deuda'!$C$102:$Q$102),FALSE)</f>
        <v>0</v>
      </c>
      <c r="U21" s="1046">
        <f>+VLOOKUP($A$21,'Pasivo a Cancelar y Deuda'!$A$2:$Q$2,LOOKUP(U9,'Pasivo a Cancelar y Deuda'!$C$1:$Q$1,'Pasivo a Cancelar y Deuda'!$C$102:$Q$102),FALSE)</f>
        <v>0</v>
      </c>
      <c r="V21" s="1046">
        <f>+VLOOKUP($A$21,'Pasivo a Cancelar y Deuda'!$A$2:$Q$2,LOOKUP(V9,'Pasivo a Cancelar y Deuda'!$C$1:$Q$1,'Pasivo a Cancelar y Deuda'!$C$102:$Q$102),FALSE)</f>
        <v>0</v>
      </c>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row>
    <row r="22" spans="1:51" s="524" customFormat="1" ht="21" customHeight="1">
      <c r="A22" s="993" t="s">
        <v>207</v>
      </c>
      <c r="B22" s="1020" t="s">
        <v>208</v>
      </c>
      <c r="C22" s="1017" t="e">
        <f>+(C10-C16)</f>
        <v>#N/A</v>
      </c>
      <c r="D22" s="1017" t="e">
        <f>+(D10-D16)</f>
        <v>#N/A</v>
      </c>
      <c r="E22" s="1017" t="e">
        <f>+(E10-E16)</f>
        <v>#N/A</v>
      </c>
      <c r="F22" s="1018"/>
      <c r="G22" s="1045">
        <f t="shared" ref="G22:O22" si="9">+(G10-G16)</f>
        <v>4887780.3824000005</v>
      </c>
      <c r="H22" s="1045">
        <f t="shared" si="9"/>
        <v>4991615</v>
      </c>
      <c r="I22" s="1045">
        <f t="shared" si="9"/>
        <v>5055101.4400000004</v>
      </c>
      <c r="J22" s="1045">
        <f t="shared" si="9"/>
        <v>5258344.4975999994</v>
      </c>
      <c r="K22" s="1045">
        <f t="shared" si="9"/>
        <v>5468678.293056</v>
      </c>
      <c r="L22" s="1045">
        <f t="shared" si="9"/>
        <v>5716825.1840742407</v>
      </c>
      <c r="M22" s="1045">
        <f t="shared" si="9"/>
        <v>5945498.1914372109</v>
      </c>
      <c r="N22" s="1045">
        <f t="shared" si="9"/>
        <v>6183319.1190946996</v>
      </c>
      <c r="O22" s="1045">
        <f t="shared" si="9"/>
        <v>6430650.843858487</v>
      </c>
      <c r="P22" s="1045">
        <f t="shared" ref="P22:U22" si="10">+(P10-P16)</f>
        <v>6687876.8776128273</v>
      </c>
      <c r="Q22" s="1045">
        <f t="shared" si="10"/>
        <v>6955391.9527173396</v>
      </c>
      <c r="R22" s="1045">
        <f t="shared" si="10"/>
        <v>7233607.6308260337</v>
      </c>
      <c r="S22" s="1045">
        <f t="shared" si="10"/>
        <v>7522951.9360590745</v>
      </c>
      <c r="T22" s="1045">
        <f t="shared" si="10"/>
        <v>7823870.0135014392</v>
      </c>
      <c r="U22" s="1045">
        <f t="shared" si="10"/>
        <v>8136824.8140414953</v>
      </c>
      <c r="V22" s="1045">
        <f>+(V10-V16)</f>
        <v>8462298.806603156</v>
      </c>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row>
    <row r="23" spans="1:51" s="524" customFormat="1" ht="21" customHeight="1">
      <c r="A23" s="993" t="s">
        <v>209</v>
      </c>
      <c r="B23" s="1008" t="s">
        <v>210</v>
      </c>
      <c r="C23" s="1047"/>
      <c r="D23" s="1047">
        <v>1.04</v>
      </c>
      <c r="E23" s="1021"/>
      <c r="F23" s="1022"/>
      <c r="G23" s="1047">
        <v>1.04</v>
      </c>
      <c r="H23" s="1047">
        <v>1.04</v>
      </c>
      <c r="I23" s="1047">
        <v>1.04</v>
      </c>
      <c r="J23" s="1047">
        <v>1.04</v>
      </c>
      <c r="K23" s="1047">
        <v>1.04</v>
      </c>
      <c r="L23" s="1047">
        <v>1.04</v>
      </c>
      <c r="M23" s="1047">
        <v>1.04</v>
      </c>
      <c r="N23" s="1047">
        <v>1.04</v>
      </c>
      <c r="O23" s="1047">
        <v>1.04</v>
      </c>
      <c r="P23" s="1047">
        <v>1.04</v>
      </c>
      <c r="Q23" s="1047">
        <v>1.04</v>
      </c>
      <c r="R23" s="1047">
        <v>1.04</v>
      </c>
      <c r="S23" s="1047">
        <v>1.04</v>
      </c>
      <c r="T23" s="1047">
        <v>1.04</v>
      </c>
      <c r="U23" s="1047">
        <v>1.04</v>
      </c>
      <c r="V23" s="1047">
        <v>1.04</v>
      </c>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row>
    <row r="24" spans="1:51" s="523" customFormat="1" ht="21" customHeight="1">
      <c r="A24" s="1034" t="s">
        <v>211</v>
      </c>
      <c r="B24" s="1020" t="s">
        <v>212</v>
      </c>
      <c r="C24" s="1009"/>
      <c r="D24" s="1017"/>
      <c r="E24" s="1017"/>
      <c r="F24" s="1018"/>
      <c r="G24" s="1045"/>
      <c r="H24" s="1045"/>
      <c r="I24" s="1045"/>
      <c r="J24" s="1045"/>
      <c r="K24" s="1045"/>
      <c r="L24" s="1045">
        <v>0</v>
      </c>
      <c r="M24" s="1045"/>
      <c r="N24" s="1045"/>
      <c r="O24" s="1045"/>
      <c r="P24" s="1045"/>
      <c r="Q24" s="1045"/>
      <c r="R24" s="1045"/>
      <c r="S24" s="1045"/>
      <c r="T24" s="1045"/>
      <c r="U24" s="1045"/>
      <c r="V24" s="1045"/>
    </row>
    <row r="25" spans="1:51" s="524" customFormat="1" ht="21" customHeight="1">
      <c r="A25" s="1032" t="s">
        <v>213</v>
      </c>
      <c r="B25" s="1020" t="s">
        <v>214</v>
      </c>
      <c r="C25" s="1017"/>
      <c r="D25" s="1017">
        <f>SUM(D26:D29)-D30</f>
        <v>35000</v>
      </c>
      <c r="E25" s="1017">
        <f>SUM(E26:E29)-E30</f>
        <v>35000</v>
      </c>
      <c r="F25" s="1018"/>
      <c r="G25" s="1045">
        <f t="shared" ref="G25:O25" si="11">SUM(G26:G29)-G30</f>
        <v>280000</v>
      </c>
      <c r="H25" s="1045">
        <f>SUM(H26:H29)-H30</f>
        <v>159788</v>
      </c>
      <c r="I25" s="1045">
        <f>SUM(I26:I29)-I30</f>
        <v>118118</v>
      </c>
      <c r="J25" s="1045">
        <f t="shared" si="11"/>
        <v>298923</v>
      </c>
      <c r="K25" s="1045">
        <f t="shared" si="11"/>
        <v>17923</v>
      </c>
      <c r="L25" s="1045">
        <f>SUM(L26:L29)-L30</f>
        <v>150000</v>
      </c>
      <c r="M25" s="1045">
        <f t="shared" si="11"/>
        <v>50000</v>
      </c>
      <c r="N25" s="1045">
        <f t="shared" si="11"/>
        <v>0</v>
      </c>
      <c r="O25" s="1045">
        <f t="shared" si="11"/>
        <v>0</v>
      </c>
      <c r="P25" s="1045">
        <f t="shared" ref="P25:U25" si="12">SUM(P26:P29)-P30</f>
        <v>0</v>
      </c>
      <c r="Q25" s="1045">
        <f t="shared" si="12"/>
        <v>0</v>
      </c>
      <c r="R25" s="1045">
        <f t="shared" si="12"/>
        <v>0</v>
      </c>
      <c r="S25" s="1045">
        <f t="shared" si="12"/>
        <v>0</v>
      </c>
      <c r="T25" s="1045">
        <f t="shared" si="12"/>
        <v>0</v>
      </c>
      <c r="U25" s="1045">
        <f t="shared" si="12"/>
        <v>0</v>
      </c>
      <c r="V25" s="1045">
        <f>SUM(V26:V29)-V30</f>
        <v>0</v>
      </c>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row>
    <row r="26" spans="1:51" s="524" customFormat="1" ht="21" customHeight="1">
      <c r="A26" s="992" t="s">
        <v>215</v>
      </c>
      <c r="B26" s="1024" t="s">
        <v>216</v>
      </c>
      <c r="C26" s="1023"/>
      <c r="D26" s="1025">
        <v>147328</v>
      </c>
      <c r="E26" s="1001">
        <f>+D26</f>
        <v>147328</v>
      </c>
      <c r="F26" s="1019"/>
      <c r="G26" s="1046">
        <v>50000</v>
      </c>
      <c r="H26" s="1046">
        <v>291788</v>
      </c>
      <c r="I26" s="1046">
        <f>160118+150000</f>
        <v>310118</v>
      </c>
      <c r="J26" s="1046">
        <f>27000+10000+150000</f>
        <v>187000</v>
      </c>
      <c r="K26" s="1046">
        <f t="shared" ref="K26:V26" si="13">+J41</f>
        <v>298923</v>
      </c>
      <c r="L26" s="1046">
        <v>20965</v>
      </c>
      <c r="M26" s="1046">
        <f t="shared" si="13"/>
        <v>150000</v>
      </c>
      <c r="N26" s="1046">
        <f t="shared" si="13"/>
        <v>50000</v>
      </c>
      <c r="O26" s="1046">
        <f t="shared" si="13"/>
        <v>0</v>
      </c>
      <c r="P26" s="1046">
        <f t="shared" si="13"/>
        <v>0</v>
      </c>
      <c r="Q26" s="1046">
        <f t="shared" si="13"/>
        <v>0</v>
      </c>
      <c r="R26" s="1046">
        <f t="shared" si="13"/>
        <v>0</v>
      </c>
      <c r="S26" s="1046">
        <f t="shared" si="13"/>
        <v>0</v>
      </c>
      <c r="T26" s="1046">
        <f t="shared" si="13"/>
        <v>0</v>
      </c>
      <c r="U26" s="1046">
        <f t="shared" si="13"/>
        <v>0</v>
      </c>
      <c r="V26" s="1046">
        <f t="shared" si="13"/>
        <v>0</v>
      </c>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row>
    <row r="27" spans="1:51" s="524" customFormat="1" ht="21" customHeight="1">
      <c r="A27" s="1035" t="s">
        <v>217</v>
      </c>
      <c r="B27" s="1024" t="s">
        <v>218</v>
      </c>
      <c r="C27" s="1006"/>
      <c r="D27" s="1025">
        <v>0</v>
      </c>
      <c r="E27" s="1001">
        <f>+D27</f>
        <v>0</v>
      </c>
      <c r="F27" s="1018"/>
      <c r="G27" s="1048">
        <v>360000</v>
      </c>
      <c r="H27" s="1048">
        <v>0</v>
      </c>
      <c r="I27" s="1048"/>
      <c r="J27" s="1048">
        <v>270000</v>
      </c>
      <c r="K27" s="1048"/>
      <c r="L27" s="1048">
        <v>200000</v>
      </c>
      <c r="M27" s="1048">
        <v>0</v>
      </c>
      <c r="N27" s="1048">
        <v>0</v>
      </c>
      <c r="O27" s="1048"/>
      <c r="P27" s="1048"/>
      <c r="Q27" s="1048"/>
      <c r="R27" s="1048"/>
      <c r="S27" s="1048"/>
      <c r="T27" s="1048"/>
      <c r="U27" s="1048"/>
      <c r="V27" s="1048"/>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523"/>
    </row>
    <row r="28" spans="1:51" s="524" customFormat="1" ht="21" customHeight="1">
      <c r="A28" s="992" t="s">
        <v>219</v>
      </c>
      <c r="B28" s="1024" t="s">
        <v>220</v>
      </c>
      <c r="C28" s="1025"/>
      <c r="D28" s="1001" t="s">
        <v>192</v>
      </c>
      <c r="E28" s="1001">
        <f>+E74-E21</f>
        <v>0</v>
      </c>
      <c r="F28" s="1019"/>
      <c r="G28" s="1046" t="s">
        <v>192</v>
      </c>
      <c r="H28" s="1046" t="s">
        <v>192</v>
      </c>
      <c r="I28" s="1046" t="s">
        <v>192</v>
      </c>
      <c r="J28" s="1046" t="s">
        <v>192</v>
      </c>
      <c r="K28" s="1046" t="s">
        <v>192</v>
      </c>
      <c r="L28" s="1046" t="s">
        <v>192</v>
      </c>
      <c r="M28" s="1046" t="s">
        <v>192</v>
      </c>
      <c r="N28" s="1046" t="s">
        <v>192</v>
      </c>
      <c r="O28" s="1046" t="s">
        <v>192</v>
      </c>
      <c r="P28" s="1046" t="s">
        <v>192</v>
      </c>
      <c r="Q28" s="1046" t="s">
        <v>192</v>
      </c>
      <c r="R28" s="1046" t="s">
        <v>192</v>
      </c>
      <c r="S28" s="1046" t="s">
        <v>192</v>
      </c>
      <c r="T28" s="1046" t="s">
        <v>192</v>
      </c>
      <c r="U28" s="1046" t="s">
        <v>192</v>
      </c>
      <c r="V28" s="1046" t="s">
        <v>192</v>
      </c>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523"/>
    </row>
    <row r="29" spans="1:51" s="524" customFormat="1" ht="21" customHeight="1">
      <c r="A29" s="1036" t="s">
        <v>221</v>
      </c>
      <c r="B29" s="1024" t="s">
        <v>222</v>
      </c>
      <c r="C29" s="1025"/>
      <c r="D29" s="1001" t="s">
        <v>192</v>
      </c>
      <c r="E29" s="1025"/>
      <c r="F29" s="1019"/>
      <c r="G29" s="1046" t="s">
        <v>192</v>
      </c>
      <c r="H29" s="1046" t="s">
        <v>192</v>
      </c>
      <c r="I29" s="1046" t="s">
        <v>192</v>
      </c>
      <c r="J29" s="1046" t="s">
        <v>192</v>
      </c>
      <c r="K29" s="1046" t="s">
        <v>192</v>
      </c>
      <c r="L29" s="1046" t="s">
        <v>192</v>
      </c>
      <c r="M29" s="1046" t="s">
        <v>192</v>
      </c>
      <c r="N29" s="1046" t="s">
        <v>192</v>
      </c>
      <c r="O29" s="1046" t="s">
        <v>192</v>
      </c>
      <c r="P29" s="1046" t="s">
        <v>192</v>
      </c>
      <c r="Q29" s="1046" t="s">
        <v>192</v>
      </c>
      <c r="R29" s="1046" t="s">
        <v>192</v>
      </c>
      <c r="S29" s="1046" t="s">
        <v>192</v>
      </c>
      <c r="T29" s="1046" t="s">
        <v>192</v>
      </c>
      <c r="U29" s="1046" t="s">
        <v>192</v>
      </c>
      <c r="V29" s="1046" t="s">
        <v>192</v>
      </c>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row>
    <row r="30" spans="1:51" s="524" customFormat="1" ht="21" customHeight="1">
      <c r="A30" s="1037" t="s">
        <v>223</v>
      </c>
      <c r="B30" s="1024" t="s">
        <v>224</v>
      </c>
      <c r="C30" s="1023"/>
      <c r="D30" s="1017">
        <f>+D31+D32</f>
        <v>112328</v>
      </c>
      <c r="E30" s="1017">
        <f>+E31+E32</f>
        <v>112328</v>
      </c>
      <c r="F30" s="1018"/>
      <c r="G30" s="1045">
        <f t="shared" ref="G30:O30" si="14">+G31+G32</f>
        <v>130000</v>
      </c>
      <c r="H30" s="1045">
        <f t="shared" si="14"/>
        <v>132000</v>
      </c>
      <c r="I30" s="1045">
        <f t="shared" si="14"/>
        <v>192000</v>
      </c>
      <c r="J30" s="1045">
        <f t="shared" si="14"/>
        <v>158077</v>
      </c>
      <c r="K30" s="1045">
        <f t="shared" si="14"/>
        <v>281000</v>
      </c>
      <c r="L30" s="1045">
        <f t="shared" si="14"/>
        <v>70965</v>
      </c>
      <c r="M30" s="1045">
        <f t="shared" si="14"/>
        <v>100000</v>
      </c>
      <c r="N30" s="1045">
        <f t="shared" si="14"/>
        <v>50000</v>
      </c>
      <c r="O30" s="1045">
        <f t="shared" si="14"/>
        <v>0</v>
      </c>
      <c r="P30" s="1045">
        <f t="shared" ref="P30:U30" si="15">+P31+P32</f>
        <v>0</v>
      </c>
      <c r="Q30" s="1045">
        <f t="shared" si="15"/>
        <v>0</v>
      </c>
      <c r="R30" s="1045">
        <f t="shared" si="15"/>
        <v>0</v>
      </c>
      <c r="S30" s="1045">
        <f t="shared" si="15"/>
        <v>0</v>
      </c>
      <c r="T30" s="1045">
        <f t="shared" si="15"/>
        <v>0</v>
      </c>
      <c r="U30" s="1045">
        <f t="shared" si="15"/>
        <v>0</v>
      </c>
      <c r="V30" s="1045">
        <f>+V31+V32</f>
        <v>0</v>
      </c>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row>
    <row r="31" spans="1:51" s="524" customFormat="1" ht="21" customHeight="1">
      <c r="A31" s="992" t="s">
        <v>225</v>
      </c>
      <c r="B31" s="1024" t="s">
        <v>226</v>
      </c>
      <c r="C31" s="1023"/>
      <c r="D31" s="1025">
        <v>0</v>
      </c>
      <c r="E31" s="1001">
        <f>+D31</f>
        <v>0</v>
      </c>
      <c r="F31" s="1019"/>
      <c r="G31" s="1048"/>
      <c r="H31" s="1048">
        <f>+'Gastos Proyecciones'!I184</f>
        <v>132000</v>
      </c>
      <c r="I31" s="1048">
        <f>+'Gastos Proyecciones'!J184</f>
        <v>192000</v>
      </c>
      <c r="J31" s="1048">
        <f>145171+12906</f>
        <v>158077</v>
      </c>
      <c r="K31" s="1048">
        <v>281000</v>
      </c>
      <c r="L31" s="1048">
        <f>20965+50000</f>
        <v>70965</v>
      </c>
      <c r="M31" s="1048">
        <f>+'Gastos Proyecciones'!N184</f>
        <v>100000</v>
      </c>
      <c r="N31" s="1048">
        <f>+'Gastos Proyecciones'!O184</f>
        <v>50000</v>
      </c>
      <c r="O31" s="1048">
        <f>+'Gastos Proyecciones'!P184</f>
        <v>0</v>
      </c>
      <c r="P31" s="1048">
        <f>+'Gastos Proyecciones'!Q184</f>
        <v>0</v>
      </c>
      <c r="Q31" s="1048">
        <f>+'Gastos Proyecciones'!R184</f>
        <v>0</v>
      </c>
      <c r="R31" s="1048">
        <f>+'Gastos Proyecciones'!S184</f>
        <v>0</v>
      </c>
      <c r="S31" s="1048">
        <f>+'Gastos Proyecciones'!T184</f>
        <v>0</v>
      </c>
      <c r="T31" s="1048">
        <f>+'Gastos Proyecciones'!U184</f>
        <v>0</v>
      </c>
      <c r="U31" s="1048">
        <f>+'Gastos Proyecciones'!V184</f>
        <v>0</v>
      </c>
      <c r="V31" s="1048">
        <f>+'Gastos Proyecciones'!W184</f>
        <v>0</v>
      </c>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row>
    <row r="32" spans="1:51" s="529" customFormat="1" ht="21" customHeight="1">
      <c r="A32" s="992" t="s">
        <v>227</v>
      </c>
      <c r="B32" s="1024" t="s">
        <v>228</v>
      </c>
      <c r="C32" s="1023"/>
      <c r="D32" s="1025">
        <v>112328</v>
      </c>
      <c r="E32" s="1001">
        <f>+D32</f>
        <v>112328</v>
      </c>
      <c r="F32" s="1019"/>
      <c r="G32" s="1048">
        <v>130000</v>
      </c>
      <c r="H32" s="1048">
        <v>0</v>
      </c>
      <c r="I32" s="1048">
        <v>0</v>
      </c>
      <c r="J32" s="1048">
        <v>0</v>
      </c>
      <c r="K32" s="1048">
        <v>0</v>
      </c>
      <c r="L32" s="1048">
        <v>0</v>
      </c>
      <c r="M32" s="1048">
        <v>0</v>
      </c>
      <c r="N32" s="1048">
        <v>0</v>
      </c>
      <c r="O32" s="1048">
        <f>+'Gastos Proyecciones'!P184</f>
        <v>0</v>
      </c>
      <c r="P32" s="1048">
        <f>+'Gastos Proyecciones'!Q184</f>
        <v>0</v>
      </c>
      <c r="Q32" s="1048">
        <f>+'Gastos Proyecciones'!R184</f>
        <v>0</v>
      </c>
      <c r="R32" s="1048">
        <f>+'Gastos Proyecciones'!S184</f>
        <v>0</v>
      </c>
      <c r="S32" s="1048">
        <f>+'Gastos Proyecciones'!T184</f>
        <v>0</v>
      </c>
      <c r="T32" s="1048">
        <f>+'Gastos Proyecciones'!U184</f>
        <v>0</v>
      </c>
      <c r="U32" s="1048">
        <f>+'Gastos Proyecciones'!V184</f>
        <v>0</v>
      </c>
      <c r="V32" s="1048">
        <f>+'Gastos Proyecciones'!W184</f>
        <v>0</v>
      </c>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28"/>
      <c r="AS32" s="528"/>
      <c r="AT32" s="528"/>
      <c r="AU32" s="528"/>
      <c r="AV32" s="528"/>
      <c r="AW32" s="528"/>
      <c r="AX32" s="528"/>
      <c r="AY32" s="528"/>
    </row>
    <row r="33" spans="1:51" s="524" customFormat="1" ht="21" customHeight="1">
      <c r="A33" s="1038" t="s">
        <v>229</v>
      </c>
      <c r="B33" s="1020" t="s">
        <v>230</v>
      </c>
      <c r="C33" s="1023"/>
      <c r="D33" s="1017">
        <f>+D34+D35</f>
        <v>44000</v>
      </c>
      <c r="E33" s="1017">
        <f>+E34+E35</f>
        <v>44000</v>
      </c>
      <c r="F33" s="1018"/>
      <c r="G33" s="1045">
        <f t="shared" ref="G33:O33" si="16">+G34+G35</f>
        <v>81000</v>
      </c>
      <c r="H33" s="1045">
        <f t="shared" si="16"/>
        <v>69000</v>
      </c>
      <c r="I33" s="1045">
        <f t="shared" si="16"/>
        <v>65000</v>
      </c>
      <c r="J33" s="1045">
        <f t="shared" si="16"/>
        <v>24000</v>
      </c>
      <c r="K33" s="1045">
        <f t="shared" si="16"/>
        <v>33000</v>
      </c>
      <c r="L33" s="1045">
        <f t="shared" si="16"/>
        <v>4035</v>
      </c>
      <c r="M33" s="1045">
        <f t="shared" si="16"/>
        <v>4000</v>
      </c>
      <c r="N33" s="1045">
        <f t="shared" si="16"/>
        <v>3000</v>
      </c>
      <c r="O33" s="1045">
        <f t="shared" si="16"/>
        <v>0</v>
      </c>
      <c r="P33" s="1045">
        <f t="shared" ref="P33:U33" si="17">+P34+P35</f>
        <v>0</v>
      </c>
      <c r="Q33" s="1045">
        <f t="shared" si="17"/>
        <v>0</v>
      </c>
      <c r="R33" s="1045">
        <f t="shared" si="17"/>
        <v>0</v>
      </c>
      <c r="S33" s="1045">
        <f t="shared" si="17"/>
        <v>0</v>
      </c>
      <c r="T33" s="1045">
        <f t="shared" si="17"/>
        <v>0</v>
      </c>
      <c r="U33" s="1045">
        <f t="shared" si="17"/>
        <v>0</v>
      </c>
      <c r="V33" s="1045">
        <f>+V34+V35</f>
        <v>0</v>
      </c>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row>
    <row r="34" spans="1:51" s="524" customFormat="1" ht="21" customHeight="1">
      <c r="A34" s="1035" t="s">
        <v>231</v>
      </c>
      <c r="B34" s="1024" t="s">
        <v>232</v>
      </c>
      <c r="C34" s="1023"/>
      <c r="D34" s="1025">
        <v>0</v>
      </c>
      <c r="E34" s="1001">
        <f>+D34</f>
        <v>0</v>
      </c>
      <c r="F34" s="1019"/>
      <c r="G34" s="1048"/>
      <c r="H34" s="1048"/>
      <c r="I34" s="1048"/>
      <c r="J34" s="1048"/>
      <c r="K34" s="1048"/>
      <c r="L34" s="1048"/>
      <c r="M34" s="1048"/>
      <c r="N34" s="1048"/>
      <c r="O34" s="1048"/>
      <c r="P34" s="1048"/>
      <c r="Q34" s="1048"/>
      <c r="R34" s="1048"/>
      <c r="S34" s="1048"/>
      <c r="T34" s="1048"/>
      <c r="U34" s="1048"/>
      <c r="V34" s="1048"/>
      <c r="W34" s="523"/>
      <c r="X34" s="523"/>
      <c r="Y34" s="523"/>
      <c r="Z34" s="523"/>
      <c r="AA34" s="523"/>
      <c r="AB34" s="523"/>
      <c r="AC34" s="523"/>
      <c r="AD34" s="523"/>
      <c r="AE34" s="523"/>
      <c r="AF34" s="523"/>
      <c r="AG34" s="523"/>
      <c r="AH34" s="523"/>
      <c r="AI34" s="523"/>
      <c r="AJ34" s="523"/>
      <c r="AK34" s="523"/>
      <c r="AL34" s="523"/>
      <c r="AM34" s="523"/>
      <c r="AN34" s="523"/>
      <c r="AO34" s="523"/>
      <c r="AP34" s="523"/>
      <c r="AQ34" s="523"/>
      <c r="AR34" s="523"/>
      <c r="AS34" s="523"/>
      <c r="AT34" s="523"/>
      <c r="AU34" s="523"/>
      <c r="AV34" s="523"/>
      <c r="AW34" s="523"/>
      <c r="AX34" s="523"/>
      <c r="AY34" s="523"/>
    </row>
    <row r="35" spans="1:51" s="524" customFormat="1" ht="21" customHeight="1">
      <c r="A35" s="1035" t="s">
        <v>233</v>
      </c>
      <c r="B35" s="1024" t="s">
        <v>234</v>
      </c>
      <c r="C35" s="1023"/>
      <c r="D35" s="1025">
        <v>44000</v>
      </c>
      <c r="E35" s="1001">
        <f>+D35</f>
        <v>44000</v>
      </c>
      <c r="F35" s="1019"/>
      <c r="G35" s="1048">
        <v>81000</v>
      </c>
      <c r="H35" s="1048">
        <f>+'Gastos Proyecciones'!I185</f>
        <v>69000</v>
      </c>
      <c r="I35" s="1048">
        <f>+'Gastos Proyecciones'!J185</f>
        <v>65000</v>
      </c>
      <c r="J35" s="1048">
        <f>+'Gastos Proyecciones'!K185</f>
        <v>24000</v>
      </c>
      <c r="K35" s="1048">
        <f>+'Gastos Proyecciones'!L185</f>
        <v>33000</v>
      </c>
      <c r="L35" s="1048">
        <f>+'Gastos Proyecciones'!M185</f>
        <v>4035</v>
      </c>
      <c r="M35" s="1048">
        <f>+'Gastos Proyecciones'!N185</f>
        <v>4000</v>
      </c>
      <c r="N35" s="1048">
        <f>+'Gastos Proyecciones'!O185</f>
        <v>3000</v>
      </c>
      <c r="O35" s="1048">
        <f>+'Gastos Proyecciones'!P185</f>
        <v>0</v>
      </c>
      <c r="P35" s="1048">
        <f>+'Gastos Proyecciones'!Q185</f>
        <v>0</v>
      </c>
      <c r="Q35" s="1048">
        <f>+'Gastos Proyecciones'!R185</f>
        <v>0</v>
      </c>
      <c r="R35" s="1048">
        <f>+'Gastos Proyecciones'!S185</f>
        <v>0</v>
      </c>
      <c r="S35" s="1048">
        <f>+'Gastos Proyecciones'!T185</f>
        <v>0</v>
      </c>
      <c r="T35" s="1048">
        <f>+'Gastos Proyecciones'!U185</f>
        <v>0</v>
      </c>
      <c r="U35" s="1048">
        <f>+'Gastos Proyecciones'!V185</f>
        <v>0</v>
      </c>
      <c r="V35" s="1048">
        <f>+'Gastos Proyecciones'!W185</f>
        <v>0</v>
      </c>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523"/>
      <c r="AY35" s="523"/>
    </row>
    <row r="36" spans="1:51" s="523" customFormat="1" ht="21" customHeight="1">
      <c r="A36" s="1039" t="s">
        <v>235</v>
      </c>
      <c r="B36" s="1020" t="s">
        <v>236</v>
      </c>
      <c r="C36" s="1009"/>
      <c r="D36" s="1017"/>
      <c r="E36" s="1017"/>
      <c r="F36" s="1018"/>
      <c r="G36" s="1026"/>
      <c r="H36" s="1026"/>
      <c r="I36" s="1026"/>
      <c r="J36" s="1026"/>
      <c r="K36" s="1026"/>
      <c r="L36" s="1026"/>
      <c r="M36" s="1026"/>
      <c r="N36" s="1026"/>
      <c r="O36" s="1026"/>
      <c r="P36" s="1026"/>
      <c r="Q36" s="1026"/>
      <c r="R36" s="1026"/>
      <c r="S36" s="1026"/>
      <c r="T36" s="1026"/>
      <c r="U36" s="1026"/>
      <c r="V36" s="1026"/>
    </row>
    <row r="37" spans="1:51" s="524" customFormat="1" ht="21" customHeight="1">
      <c r="A37" s="1035" t="s">
        <v>237</v>
      </c>
      <c r="B37" s="1024" t="s">
        <v>238</v>
      </c>
      <c r="C37" s="1007"/>
      <c r="D37" s="1048">
        <v>0</v>
      </c>
      <c r="E37" s="1001">
        <f>+D37</f>
        <v>0</v>
      </c>
      <c r="F37" s="1019"/>
      <c r="G37" s="1048"/>
      <c r="H37" s="1048"/>
      <c r="I37" s="1048"/>
      <c r="J37" s="1048"/>
      <c r="K37" s="1048"/>
      <c r="L37" s="1048"/>
      <c r="M37" s="1048"/>
      <c r="N37" s="1048"/>
      <c r="O37" s="1048"/>
      <c r="P37" s="1048"/>
      <c r="Q37" s="1048"/>
      <c r="R37" s="1048"/>
      <c r="S37" s="1048"/>
      <c r="T37" s="1048"/>
      <c r="U37" s="1048"/>
      <c r="V37" s="1048"/>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row>
    <row r="38" spans="1:51" s="524" customFormat="1" ht="21" customHeight="1">
      <c r="A38" s="1035" t="s">
        <v>239</v>
      </c>
      <c r="B38" s="1024" t="s">
        <v>240</v>
      </c>
      <c r="C38" s="1007"/>
      <c r="D38" s="1048">
        <v>0</v>
      </c>
      <c r="E38" s="1001">
        <f>+D38</f>
        <v>0</v>
      </c>
      <c r="F38" s="1018"/>
      <c r="G38" s="1048">
        <v>0</v>
      </c>
      <c r="H38" s="1048">
        <v>0</v>
      </c>
      <c r="I38" s="1048">
        <v>0</v>
      </c>
      <c r="J38" s="1048">
        <f>+J37/3</f>
        <v>0</v>
      </c>
      <c r="K38" s="1048">
        <f>+K37/3</f>
        <v>0</v>
      </c>
      <c r="L38" s="1048"/>
      <c r="M38" s="1048"/>
      <c r="N38" s="1048"/>
      <c r="O38" s="1048"/>
      <c r="P38" s="1048"/>
      <c r="Q38" s="1048"/>
      <c r="R38" s="1048"/>
      <c r="S38" s="1048"/>
      <c r="T38" s="1048"/>
      <c r="U38" s="1048"/>
      <c r="V38" s="1048"/>
      <c r="W38" s="523"/>
      <c r="X38" s="523"/>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row>
    <row r="39" spans="1:51" s="524" customFormat="1" ht="21" customHeight="1">
      <c r="A39" s="1035" t="s">
        <v>241</v>
      </c>
      <c r="B39" s="1024" t="s">
        <v>242</v>
      </c>
      <c r="C39" s="1007"/>
      <c r="D39" s="1048">
        <v>0</v>
      </c>
      <c r="E39" s="1001">
        <f>+D39</f>
        <v>0</v>
      </c>
      <c r="F39" s="1018"/>
      <c r="G39" s="1048"/>
      <c r="H39" s="1048"/>
      <c r="I39" s="1048"/>
      <c r="J39" s="1048"/>
      <c r="K39" s="1048"/>
      <c r="L39" s="1048"/>
      <c r="M39" s="1048"/>
      <c r="N39" s="1048"/>
      <c r="O39" s="1048"/>
      <c r="P39" s="1048"/>
      <c r="Q39" s="1048"/>
      <c r="R39" s="1048"/>
      <c r="S39" s="1048"/>
      <c r="T39" s="1048"/>
      <c r="U39" s="1048"/>
      <c r="V39" s="1048"/>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row>
    <row r="40" spans="1:51" s="528" customFormat="1" ht="21" customHeight="1">
      <c r="A40" s="1039" t="s">
        <v>243</v>
      </c>
      <c r="B40" s="1008" t="s">
        <v>244</v>
      </c>
      <c r="C40" s="1009"/>
      <c r="D40" s="1010"/>
      <c r="E40" s="1010"/>
      <c r="F40" s="1000"/>
      <c r="G40" s="1045"/>
      <c r="H40" s="1045"/>
      <c r="I40" s="1045"/>
      <c r="J40" s="1045"/>
      <c r="K40" s="1045"/>
      <c r="L40" s="1045"/>
      <c r="M40" s="1045"/>
      <c r="N40" s="1045"/>
      <c r="O40" s="1045"/>
      <c r="P40" s="1045"/>
      <c r="Q40" s="1045"/>
      <c r="R40" s="1045"/>
      <c r="S40" s="1045"/>
      <c r="T40" s="1045"/>
      <c r="U40" s="1045"/>
      <c r="V40" s="1045"/>
    </row>
    <row r="41" spans="1:51" s="524" customFormat="1" ht="21" customHeight="1">
      <c r="A41" s="1035" t="s">
        <v>245</v>
      </c>
      <c r="B41" s="1020" t="s">
        <v>246</v>
      </c>
      <c r="C41" s="1017"/>
      <c r="D41" s="1017">
        <f>+D25+D37-D38</f>
        <v>35000</v>
      </c>
      <c r="E41" s="1017">
        <f>+E25+E37-E38</f>
        <v>35000</v>
      </c>
      <c r="F41" s="1018"/>
      <c r="G41" s="1045">
        <f>+G25+G37-G38</f>
        <v>280000</v>
      </c>
      <c r="H41" s="1045">
        <f t="shared" ref="H41:O41" si="18">+H25+H37-H38</f>
        <v>159788</v>
      </c>
      <c r="I41" s="1045">
        <f>+I25+I37-I38</f>
        <v>118118</v>
      </c>
      <c r="J41" s="1045">
        <f t="shared" si="18"/>
        <v>298923</v>
      </c>
      <c r="K41" s="1045">
        <f t="shared" si="18"/>
        <v>17923</v>
      </c>
      <c r="L41" s="1045">
        <f t="shared" si="18"/>
        <v>150000</v>
      </c>
      <c r="M41" s="1045">
        <f t="shared" si="18"/>
        <v>50000</v>
      </c>
      <c r="N41" s="1045">
        <f t="shared" si="18"/>
        <v>0</v>
      </c>
      <c r="O41" s="1045">
        <f t="shared" si="18"/>
        <v>0</v>
      </c>
      <c r="P41" s="1045">
        <f t="shared" ref="P41:U41" si="19">+P25+P37-P38</f>
        <v>0</v>
      </c>
      <c r="Q41" s="1045">
        <f t="shared" si="19"/>
        <v>0</v>
      </c>
      <c r="R41" s="1045">
        <f t="shared" si="19"/>
        <v>0</v>
      </c>
      <c r="S41" s="1045">
        <f t="shared" si="19"/>
        <v>0</v>
      </c>
      <c r="T41" s="1045">
        <f t="shared" si="19"/>
        <v>0</v>
      </c>
      <c r="U41" s="1045">
        <f t="shared" si="19"/>
        <v>0</v>
      </c>
      <c r="V41" s="1045">
        <f>+V25+V37-V38</f>
        <v>0</v>
      </c>
      <c r="W41" s="523"/>
      <c r="X41" s="523"/>
      <c r="Y41" s="523"/>
      <c r="Z41" s="523"/>
      <c r="AA41" s="523"/>
      <c r="AB41" s="523"/>
      <c r="AC41" s="523"/>
      <c r="AD41" s="523"/>
      <c r="AE41" s="523"/>
      <c r="AF41" s="523"/>
      <c r="AG41" s="523"/>
      <c r="AH41" s="523"/>
      <c r="AI41" s="523"/>
      <c r="AJ41" s="523"/>
      <c r="AK41" s="523"/>
      <c r="AL41" s="523"/>
      <c r="AM41" s="523"/>
      <c r="AN41" s="523"/>
      <c r="AO41" s="523"/>
      <c r="AP41" s="523"/>
      <c r="AQ41" s="523"/>
      <c r="AR41" s="523"/>
      <c r="AS41" s="523"/>
      <c r="AT41" s="523"/>
      <c r="AU41" s="523"/>
      <c r="AV41" s="523"/>
      <c r="AW41" s="523"/>
      <c r="AX41" s="523"/>
      <c r="AY41" s="523"/>
    </row>
    <row r="42" spans="1:51" s="524" customFormat="1" ht="21" customHeight="1">
      <c r="A42" s="992" t="s">
        <v>247</v>
      </c>
      <c r="B42" s="1020" t="s">
        <v>248</v>
      </c>
      <c r="C42" s="1023"/>
      <c r="D42" s="1017">
        <f>+D33+D39</f>
        <v>44000</v>
      </c>
      <c r="E42" s="1017">
        <f>+E33+E39</f>
        <v>44000</v>
      </c>
      <c r="F42" s="1018"/>
      <c r="G42" s="1045">
        <f>+G33+G39</f>
        <v>81000</v>
      </c>
      <c r="H42" s="1045">
        <f t="shared" ref="H42:O42" si="20">+H33+H39</f>
        <v>69000</v>
      </c>
      <c r="I42" s="1045">
        <f t="shared" si="20"/>
        <v>65000</v>
      </c>
      <c r="J42" s="1045">
        <f t="shared" si="20"/>
        <v>24000</v>
      </c>
      <c r="K42" s="1045">
        <f t="shared" si="20"/>
        <v>33000</v>
      </c>
      <c r="L42" s="1045">
        <f>+L33+L39</f>
        <v>4035</v>
      </c>
      <c r="M42" s="1045">
        <f>+M33+M39</f>
        <v>4000</v>
      </c>
      <c r="N42" s="1045">
        <f t="shared" si="20"/>
        <v>3000</v>
      </c>
      <c r="O42" s="1045">
        <f t="shared" si="20"/>
        <v>0</v>
      </c>
      <c r="P42" s="1045">
        <f t="shared" ref="P42:U42" si="21">+P33+P39</f>
        <v>0</v>
      </c>
      <c r="Q42" s="1045">
        <f t="shared" si="21"/>
        <v>0</v>
      </c>
      <c r="R42" s="1045">
        <f t="shared" si="21"/>
        <v>0</v>
      </c>
      <c r="S42" s="1045">
        <f t="shared" si="21"/>
        <v>0</v>
      </c>
      <c r="T42" s="1045">
        <f t="shared" si="21"/>
        <v>0</v>
      </c>
      <c r="U42" s="1045">
        <f t="shared" si="21"/>
        <v>0</v>
      </c>
      <c r="V42" s="1045">
        <f>+V33+V39</f>
        <v>0</v>
      </c>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3"/>
      <c r="AY42" s="523"/>
    </row>
    <row r="43" spans="1:51" s="524" customFormat="1" ht="21" customHeight="1">
      <c r="A43" s="1036" t="s">
        <v>249</v>
      </c>
      <c r="B43" s="997" t="s">
        <v>250</v>
      </c>
      <c r="C43" s="1008"/>
      <c r="D43" s="1027" t="e">
        <f>+D42/D22</f>
        <v>#N/A</v>
      </c>
      <c r="E43" s="1027" t="e">
        <f>+E42/E22</f>
        <v>#N/A</v>
      </c>
      <c r="F43" s="1028"/>
      <c r="G43" s="1049">
        <f t="shared" ref="G43:O43" si="22">+G42/G22</f>
        <v>1.657193933910495E-2</v>
      </c>
      <c r="H43" s="1049">
        <f t="shared" si="22"/>
        <v>1.3823181475334135E-2</v>
      </c>
      <c r="I43" s="1049">
        <f t="shared" si="22"/>
        <v>1.2858297854454132E-2</v>
      </c>
      <c r="J43" s="1049">
        <f t="shared" si="22"/>
        <v>4.564174144724451E-3</v>
      </c>
      <c r="K43" s="1049">
        <f t="shared" si="22"/>
        <v>6.0343648376432434E-3</v>
      </c>
      <c r="L43" s="1049">
        <f t="shared" si="22"/>
        <v>7.0581133235289074E-4</v>
      </c>
      <c r="M43" s="1049">
        <f t="shared" si="22"/>
        <v>6.7277793570955178E-4</v>
      </c>
      <c r="N43" s="1049">
        <f t="shared" si="22"/>
        <v>4.8517631747902254E-4</v>
      </c>
      <c r="O43" s="1049">
        <f t="shared" si="22"/>
        <v>0</v>
      </c>
      <c r="P43" s="1049">
        <f t="shared" ref="P43:V43" si="23">+P42/P22</f>
        <v>0</v>
      </c>
      <c r="Q43" s="1049">
        <f t="shared" si="23"/>
        <v>0</v>
      </c>
      <c r="R43" s="1049">
        <f t="shared" si="23"/>
        <v>0</v>
      </c>
      <c r="S43" s="1049">
        <f t="shared" si="23"/>
        <v>0</v>
      </c>
      <c r="T43" s="1049">
        <f t="shared" si="23"/>
        <v>0</v>
      </c>
      <c r="U43" s="1049">
        <f t="shared" si="23"/>
        <v>0</v>
      </c>
      <c r="V43" s="1049">
        <f t="shared" si="23"/>
        <v>0</v>
      </c>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row>
    <row r="44" spans="1:51" s="524" customFormat="1" ht="21" customHeight="1">
      <c r="A44" s="1036" t="s">
        <v>251</v>
      </c>
      <c r="B44" s="1020" t="s">
        <v>252</v>
      </c>
      <c r="C44" s="1008"/>
      <c r="D44" s="1027">
        <f>D41/D10</f>
        <v>1.2843121607159174E-2</v>
      </c>
      <c r="E44" s="1027">
        <f>E41/E10</f>
        <v>1.2843121607159174E-2</v>
      </c>
      <c r="F44" s="1028"/>
      <c r="G44" s="1049">
        <f t="shared" ref="G44:O44" si="24">G41/G10</f>
        <v>5.1844724331319175E-2</v>
      </c>
      <c r="H44" s="1049">
        <f t="shared" si="24"/>
        <v>2.7831623104350819E-2</v>
      </c>
      <c r="I44" s="1049">
        <f t="shared" si="24"/>
        <v>2.0824359008606633E-2</v>
      </c>
      <c r="J44" s="1049">
        <f t="shared" si="24"/>
        <v>5.0673575674079194E-2</v>
      </c>
      <c r="K44" s="1049">
        <f t="shared" si="24"/>
        <v>2.9214575737362557E-3</v>
      </c>
      <c r="L44" s="1049">
        <f t="shared" si="24"/>
        <v>2.3334139341762868E-2</v>
      </c>
      <c r="M44" s="1049">
        <f t="shared" si="24"/>
        <v>7.4788908146675853E-3</v>
      </c>
      <c r="N44" s="1049">
        <f t="shared" si="24"/>
        <v>0</v>
      </c>
      <c r="O44" s="1049">
        <f t="shared" si="24"/>
        <v>0</v>
      </c>
      <c r="P44" s="1049">
        <f t="shared" ref="P44:U44" si="25">P41/P10</f>
        <v>0</v>
      </c>
      <c r="Q44" s="1049">
        <f t="shared" si="25"/>
        <v>0</v>
      </c>
      <c r="R44" s="1049">
        <f t="shared" si="25"/>
        <v>0</v>
      </c>
      <c r="S44" s="1049">
        <f t="shared" si="25"/>
        <v>0</v>
      </c>
      <c r="T44" s="1049">
        <f t="shared" si="25"/>
        <v>0</v>
      </c>
      <c r="U44" s="1049">
        <f t="shared" si="25"/>
        <v>0</v>
      </c>
      <c r="V44" s="1049">
        <f>V41/V10</f>
        <v>0</v>
      </c>
      <c r="W44" s="523"/>
      <c r="X44" s="523"/>
      <c r="Y44" s="523"/>
      <c r="Z44" s="523"/>
      <c r="AA44" s="523"/>
      <c r="AB44" s="523"/>
      <c r="AC44" s="523"/>
      <c r="AD44" s="523"/>
      <c r="AE44" s="523"/>
      <c r="AF44" s="523"/>
      <c r="AG44" s="523"/>
      <c r="AH44" s="523"/>
      <c r="AI44" s="523"/>
      <c r="AJ44" s="523"/>
      <c r="AK44" s="523"/>
      <c r="AL44" s="523"/>
      <c r="AM44" s="523"/>
      <c r="AN44" s="523"/>
      <c r="AO44" s="523"/>
      <c r="AP44" s="523"/>
      <c r="AQ44" s="523"/>
      <c r="AR44" s="523"/>
      <c r="AS44" s="523"/>
      <c r="AT44" s="523"/>
      <c r="AU44" s="523"/>
      <c r="AV44" s="523"/>
      <c r="AW44" s="523"/>
      <c r="AX44" s="523"/>
      <c r="AY44" s="523"/>
    </row>
    <row r="45" spans="1:51" s="524" customFormat="1" ht="36.75" customHeight="1">
      <c r="A45" s="993" t="s">
        <v>253</v>
      </c>
      <c r="B45" s="1020" t="s">
        <v>254</v>
      </c>
      <c r="C45" s="1029" t="str">
        <f>IF(C43&lt;0,"AHORRO NEGATIVO",IF(C44&gt;0.8,"ROJO",IF(C43&gt;0.4,"ROJO",IF(C43&lt;=0.4,"VERDE"))))</f>
        <v>VERDE</v>
      </c>
      <c r="D45" s="1029" t="e">
        <f>IF(D43&lt;0,"AHORRO NEGATIVO",IF(D44&gt;0.8,"ROJO",IF(D43&gt;0.4,"ROJO",IF(D43&lt;=0.4,"VERDE"))))</f>
        <v>#N/A</v>
      </c>
      <c r="E45" s="1029" t="e">
        <f>IF(E43&lt;0,"AHORRO NEGATIVO",IF(E44&gt;0.8,"ROJO",IF(E43&gt;0.4,"ROJO",IF(E43&lt;=0.4,"VERDE"))))</f>
        <v>#N/A</v>
      </c>
      <c r="F45" s="1030"/>
      <c r="G45" s="1050" t="str">
        <f t="shared" ref="G45:O45" si="26">IF(G43&lt;0,"AHORRO NEGATIVO",IF(G44&gt;0.8,"ROJO",IF(G43&gt;0.4,"ROJO",IF(G43&lt;=0.4,"VERDE"))))</f>
        <v>VERDE</v>
      </c>
      <c r="H45" s="1050" t="str">
        <f t="shared" si="26"/>
        <v>VERDE</v>
      </c>
      <c r="I45" s="1050" t="str">
        <f t="shared" si="26"/>
        <v>VERDE</v>
      </c>
      <c r="J45" s="1050" t="str">
        <f t="shared" si="26"/>
        <v>VERDE</v>
      </c>
      <c r="K45" s="1050" t="str">
        <f t="shared" si="26"/>
        <v>VERDE</v>
      </c>
      <c r="L45" s="1050" t="str">
        <f t="shared" si="26"/>
        <v>VERDE</v>
      </c>
      <c r="M45" s="1050" t="str">
        <f t="shared" si="26"/>
        <v>VERDE</v>
      </c>
      <c r="N45" s="1050" t="str">
        <f t="shared" si="26"/>
        <v>VERDE</v>
      </c>
      <c r="O45" s="1050" t="str">
        <f t="shared" si="26"/>
        <v>VERDE</v>
      </c>
      <c r="P45" s="1050" t="str">
        <f t="shared" ref="P45:V45" si="27">IF(P43&lt;0,"AHORRO NEGATIVO",IF(P44&gt;0.8,"ROJO",IF(P43&gt;0.4,"ROJO",IF(P43&lt;=0.4,"VERDE"))))</f>
        <v>VERDE</v>
      </c>
      <c r="Q45" s="1050" t="str">
        <f t="shared" si="27"/>
        <v>VERDE</v>
      </c>
      <c r="R45" s="1050" t="str">
        <f t="shared" si="27"/>
        <v>VERDE</v>
      </c>
      <c r="S45" s="1050" t="str">
        <f t="shared" si="27"/>
        <v>VERDE</v>
      </c>
      <c r="T45" s="1050" t="str">
        <f t="shared" si="27"/>
        <v>VERDE</v>
      </c>
      <c r="U45" s="1050" t="str">
        <f t="shared" si="27"/>
        <v>VERDE</v>
      </c>
      <c r="V45" s="1050" t="str">
        <f t="shared" si="27"/>
        <v>VERDE</v>
      </c>
      <c r="W45" s="523"/>
      <c r="X45" s="523"/>
      <c r="Y45" s="523"/>
      <c r="Z45" s="523"/>
      <c r="AA45" s="523"/>
      <c r="AB45" s="523"/>
      <c r="AC45" s="523"/>
      <c r="AD45" s="523"/>
      <c r="AE45" s="523"/>
      <c r="AF45" s="523"/>
      <c r="AG45" s="523"/>
      <c r="AH45" s="523"/>
      <c r="AI45" s="523"/>
      <c r="AJ45" s="523"/>
      <c r="AK45" s="523"/>
      <c r="AL45" s="523"/>
      <c r="AM45" s="523"/>
      <c r="AN45" s="523"/>
      <c r="AO45" s="523"/>
      <c r="AP45" s="523"/>
      <c r="AQ45" s="523"/>
      <c r="AR45" s="523"/>
      <c r="AS45" s="523"/>
      <c r="AT45" s="523"/>
      <c r="AU45" s="523"/>
      <c r="AV45" s="523"/>
      <c r="AW45" s="523"/>
      <c r="AX45" s="523"/>
      <c r="AY45" s="523"/>
    </row>
    <row r="46" spans="1:51">
      <c r="A46" s="486"/>
      <c r="B46" s="486"/>
      <c r="C46" s="487"/>
      <c r="D46" s="486"/>
      <c r="E46" s="486"/>
      <c r="G46" s="852"/>
      <c r="H46" s="852"/>
      <c r="I46" s="852"/>
      <c r="J46" s="852"/>
      <c r="K46" s="9"/>
      <c r="L46" s="9"/>
      <c r="M46" s="9"/>
      <c r="N46" s="9"/>
      <c r="O46" s="9"/>
      <c r="P46" s="9"/>
      <c r="Q46" s="9"/>
      <c r="R46" s="9"/>
      <c r="S46" s="9"/>
      <c r="T46" s="9"/>
    </row>
    <row r="47" spans="1:51">
      <c r="A47" s="486"/>
      <c r="B47" s="486"/>
      <c r="C47" s="487"/>
      <c r="D47" s="486"/>
      <c r="E47" s="486"/>
      <c r="G47" s="852"/>
      <c r="H47" s="852"/>
      <c r="I47" s="852"/>
      <c r="J47" s="852"/>
      <c r="K47" s="9"/>
      <c r="L47" s="9"/>
      <c r="M47" s="9"/>
      <c r="N47" s="9"/>
      <c r="O47" s="9"/>
      <c r="P47" s="9"/>
      <c r="Q47" s="9"/>
      <c r="R47" s="9"/>
      <c r="S47" s="9"/>
      <c r="T47" s="9"/>
    </row>
    <row r="48" spans="1:51">
      <c r="A48" s="486"/>
      <c r="B48" s="486"/>
      <c r="C48" s="487"/>
      <c r="D48" s="486"/>
      <c r="E48" s="486"/>
      <c r="G48" s="852"/>
      <c r="H48" s="852"/>
      <c r="I48" s="852"/>
      <c r="J48" s="852"/>
      <c r="K48" s="9"/>
      <c r="L48" s="9"/>
      <c r="M48" s="9"/>
      <c r="N48" s="9"/>
      <c r="O48" s="9"/>
      <c r="P48" s="9"/>
      <c r="Q48" s="9"/>
      <c r="R48" s="9"/>
      <c r="S48" s="9"/>
      <c r="T48" s="9"/>
    </row>
    <row r="49" spans="1:57">
      <c r="A49" s="486"/>
      <c r="B49" s="486"/>
      <c r="C49" s="487"/>
      <c r="D49" s="486"/>
      <c r="E49" s="486"/>
      <c r="G49" s="852"/>
      <c r="H49" s="852"/>
      <c r="I49" s="852"/>
      <c r="J49" s="852"/>
      <c r="K49" s="9"/>
      <c r="L49" s="9"/>
      <c r="M49" s="9"/>
      <c r="N49" s="9"/>
      <c r="O49" s="9"/>
      <c r="P49" s="9"/>
      <c r="Q49" s="9"/>
      <c r="R49" s="9"/>
      <c r="S49" s="9"/>
      <c r="T49" s="9"/>
    </row>
    <row r="50" spans="1:57">
      <c r="A50" s="486"/>
      <c r="B50" s="486"/>
      <c r="C50" s="487"/>
      <c r="D50" s="486"/>
      <c r="E50" s="486"/>
      <c r="G50" s="852"/>
      <c r="H50" s="852"/>
      <c r="I50" s="852"/>
      <c r="J50" s="852"/>
      <c r="K50" s="9"/>
      <c r="L50" s="9"/>
      <c r="M50" s="9"/>
      <c r="N50" s="9"/>
      <c r="O50" s="9"/>
      <c r="P50" s="9"/>
      <c r="Q50" s="9"/>
      <c r="R50" s="9"/>
      <c r="S50" s="9"/>
      <c r="T50" s="9"/>
    </row>
    <row r="51" spans="1:57">
      <c r="A51" s="486"/>
      <c r="B51" s="486"/>
      <c r="C51" s="487"/>
      <c r="D51" s="486"/>
      <c r="E51" s="486"/>
      <c r="G51" s="852"/>
      <c r="H51" s="852"/>
      <c r="I51" s="852"/>
      <c r="J51" s="852"/>
      <c r="K51" s="9"/>
      <c r="L51" s="9"/>
      <c r="M51" s="9"/>
      <c r="N51" s="9"/>
      <c r="O51" s="9"/>
      <c r="P51" s="9"/>
      <c r="Q51" s="9"/>
      <c r="R51" s="9"/>
      <c r="S51" s="9"/>
      <c r="T51" s="9"/>
    </row>
    <row r="52" spans="1:57">
      <c r="A52" s="486"/>
      <c r="B52" s="486"/>
      <c r="C52" s="487"/>
      <c r="D52" s="486"/>
      <c r="E52" s="486"/>
      <c r="G52" s="852"/>
      <c r="H52" s="852"/>
      <c r="I52" s="852"/>
      <c r="J52" s="852"/>
      <c r="K52" s="9"/>
      <c r="L52" s="9"/>
      <c r="M52" s="9"/>
      <c r="N52" s="9"/>
      <c r="O52" s="9"/>
      <c r="P52" s="9"/>
      <c r="Q52" s="9"/>
      <c r="R52" s="9"/>
      <c r="S52" s="9"/>
      <c r="T52" s="9"/>
    </row>
    <row r="53" spans="1:57" ht="5.25" customHeight="1">
      <c r="A53" s="488"/>
      <c r="B53" s="487"/>
      <c r="C53" s="489"/>
      <c r="D53" s="490"/>
      <c r="E53" s="486"/>
      <c r="G53" s="853"/>
      <c r="H53" s="853"/>
      <c r="I53" s="853"/>
      <c r="J53" s="853"/>
      <c r="K53" s="1304"/>
      <c r="L53" s="1304"/>
      <c r="M53" s="1304"/>
      <c r="N53" s="1304"/>
      <c r="O53" s="1304"/>
      <c r="P53" s="1304"/>
      <c r="Q53" s="1304"/>
      <c r="R53" s="1304"/>
      <c r="S53" s="1304"/>
      <c r="T53" s="1304"/>
    </row>
    <row r="54" spans="1:57" ht="5.25" customHeight="1">
      <c r="A54" s="488"/>
      <c r="B54" s="487"/>
      <c r="C54" s="491"/>
      <c r="D54" s="492"/>
      <c r="E54" s="493"/>
      <c r="F54" s="858"/>
      <c r="G54" s="854"/>
      <c r="H54" s="854"/>
      <c r="I54" s="854"/>
      <c r="J54" s="854"/>
      <c r="K54" s="1305"/>
      <c r="L54" s="1305"/>
      <c r="M54" s="1305"/>
      <c r="N54" s="1305"/>
      <c r="O54" s="1305"/>
      <c r="P54" s="1305"/>
      <c r="Q54" s="1305"/>
      <c r="R54" s="1305"/>
      <c r="S54" s="1305"/>
      <c r="T54" s="1305"/>
    </row>
    <row r="55" spans="1:57">
      <c r="A55" s="780" t="s">
        <v>255</v>
      </c>
      <c r="C55" s="782"/>
      <c r="D55" s="783"/>
      <c r="E55" s="783"/>
      <c r="F55" s="859"/>
      <c r="G55" s="855"/>
      <c r="H55" s="855"/>
      <c r="I55" s="855"/>
      <c r="J55" s="855"/>
      <c r="K55" s="1306"/>
      <c r="L55" s="1306"/>
      <c r="M55" s="1306"/>
      <c r="N55" s="1306"/>
      <c r="O55" s="1306"/>
      <c r="P55" s="1306"/>
      <c r="Q55" s="1306"/>
      <c r="R55" s="1306"/>
      <c r="S55" s="1306"/>
      <c r="T55" s="1306"/>
    </row>
    <row r="56" spans="1:57">
      <c r="A56" s="494" t="s">
        <v>256</v>
      </c>
      <c r="B56" s="781" t="s">
        <v>255</v>
      </c>
      <c r="C56" s="495" t="str">
        <f>+Ingresos!B8</f>
        <v>MUNICIPIO DE LA VEGA</v>
      </c>
      <c r="D56" s="495"/>
      <c r="E56" s="495"/>
      <c r="F56" s="860"/>
      <c r="G56" s="856"/>
      <c r="H56" s="856"/>
      <c r="I56" s="856"/>
      <c r="J56" s="856"/>
      <c r="K56" s="1307"/>
      <c r="L56" s="1307"/>
      <c r="M56" s="1307"/>
      <c r="N56" s="1307"/>
      <c r="O56" s="1307"/>
      <c r="P56" s="1307"/>
      <c r="Q56" s="1307"/>
      <c r="R56" s="1307"/>
      <c r="S56" s="1307"/>
      <c r="T56" s="1307"/>
    </row>
    <row r="57" spans="1:57" ht="15.75" thickBot="1">
      <c r="A57" s="494" t="s">
        <v>257</v>
      </c>
      <c r="B57" s="494"/>
      <c r="C57" s="496"/>
      <c r="D57" s="497" t="s">
        <v>180</v>
      </c>
      <c r="E57" s="497"/>
      <c r="F57" s="861"/>
      <c r="G57" s="862">
        <f>+G6</f>
        <v>0</v>
      </c>
      <c r="H57" s="862"/>
      <c r="I57" s="862"/>
      <c r="J57" s="862"/>
      <c r="K57" s="1308"/>
      <c r="L57" s="1308"/>
      <c r="M57" s="1308"/>
      <c r="N57" s="1308"/>
      <c r="O57" s="1308"/>
      <c r="P57" s="1308"/>
      <c r="Q57" s="1308"/>
      <c r="R57" s="1308"/>
      <c r="S57" s="1308"/>
      <c r="T57" s="1308"/>
    </row>
    <row r="58" spans="1:57" ht="105">
      <c r="A58" s="477" t="s">
        <v>258</v>
      </c>
      <c r="B58" s="995" t="s">
        <v>32</v>
      </c>
      <c r="C58" s="1013" t="str">
        <f t="shared" ref="C58:E60" si="28">+C8</f>
        <v>EJECUCIONES</v>
      </c>
      <c r="D58" s="1013" t="str">
        <f t="shared" si="28"/>
        <v>Proyección Capacidad de Pago ley 358/97 Año</v>
      </c>
      <c r="E58" s="1013" t="str">
        <f t="shared" si="28"/>
        <v>VIGENCIA ACTUAL Capacidad Real de Pago</v>
      </c>
      <c r="F58" s="1057"/>
      <c r="G58" s="1016" t="str">
        <f>+G8</f>
        <v>Proyección Capacidad de Pago ley 358/97 Año</v>
      </c>
      <c r="H58" s="1016" t="str">
        <f t="shared" ref="H58:O60" si="29">+H8</f>
        <v>Proyección Capacidad de Pago ley 358/97 Año</v>
      </c>
      <c r="I58" s="1016" t="str">
        <f t="shared" si="29"/>
        <v>Proyección Capacidad de Pago ley 358/97 Año</v>
      </c>
      <c r="J58" s="1016" t="str">
        <f t="shared" si="29"/>
        <v>Proyección Capacidad de Pago ley 358/97 Año</v>
      </c>
      <c r="K58" s="1016" t="str">
        <f t="shared" si="29"/>
        <v>Proyección Capacidad de Pago ley 358/97 Año</v>
      </c>
      <c r="L58" s="1016" t="str">
        <f t="shared" si="29"/>
        <v>Proyección Capacidad de Pago ley 358/97 Año</v>
      </c>
      <c r="M58" s="1016" t="str">
        <f t="shared" si="29"/>
        <v>Proyección Capacidad de Pago ley 358/97 Año</v>
      </c>
      <c r="N58" s="1016" t="str">
        <f t="shared" si="29"/>
        <v>Proyección Capacidad de Pago ley 358/97 Año</v>
      </c>
      <c r="O58" s="1016" t="str">
        <f t="shared" si="29"/>
        <v>Proyección Capacidad de Pago ley 358/97 Año</v>
      </c>
      <c r="P58" s="1016" t="str">
        <f t="shared" ref="P58:S60" si="30">+P8</f>
        <v>Proyección Capacidad de Pago ley 358/97 Año</v>
      </c>
      <c r="Q58" s="1016" t="str">
        <f t="shared" si="30"/>
        <v>Proyección Capacidad de Pago ley 358/97 Año</v>
      </c>
      <c r="R58" s="1016" t="str">
        <f t="shared" si="30"/>
        <v>Proyección Capacidad de Pago ley 358/97 Año</v>
      </c>
      <c r="S58" s="1016" t="str">
        <f t="shared" si="30"/>
        <v>Proyección Capacidad de Pago ley 358/97 Año</v>
      </c>
      <c r="T58" s="1016" t="str">
        <f t="shared" ref="T58:U60" si="31">+T8</f>
        <v>Proyección Capacidad de Pago ley 358/97 Año</v>
      </c>
      <c r="U58" s="1016" t="str">
        <f t="shared" si="31"/>
        <v>Proyección Capacidad de Pago ley 358/97 Año</v>
      </c>
      <c r="V58" s="1016" t="str">
        <f>+V8</f>
        <v>Proyección Capacidad de Pago ley 358/97 Año</v>
      </c>
    </row>
    <row r="59" spans="1:57" ht="30.75" customHeight="1" thickBot="1">
      <c r="A59" s="478"/>
      <c r="B59" s="995"/>
      <c r="C59" s="1058" t="str">
        <f t="shared" si="28"/>
        <v>VIGENCIA ANTERIOR</v>
      </c>
      <c r="D59" s="1013">
        <f t="shared" si="28"/>
        <v>2006</v>
      </c>
      <c r="E59" s="1013">
        <f t="shared" si="28"/>
        <v>2006</v>
      </c>
      <c r="F59" s="1059"/>
      <c r="G59" s="1016">
        <f>+G9</f>
        <v>2007</v>
      </c>
      <c r="H59" s="1016">
        <f t="shared" si="29"/>
        <v>2008</v>
      </c>
      <c r="I59" s="1016">
        <f t="shared" si="29"/>
        <v>2009</v>
      </c>
      <c r="J59" s="1016">
        <f t="shared" si="29"/>
        <v>2010</v>
      </c>
      <c r="K59" s="1016">
        <f t="shared" si="29"/>
        <v>2011</v>
      </c>
      <c r="L59" s="1016">
        <f t="shared" si="29"/>
        <v>2012</v>
      </c>
      <c r="M59" s="1016">
        <f t="shared" si="29"/>
        <v>2013</v>
      </c>
      <c r="N59" s="1016">
        <f t="shared" si="29"/>
        <v>2014</v>
      </c>
      <c r="O59" s="1016">
        <f t="shared" si="29"/>
        <v>2015</v>
      </c>
      <c r="P59" s="1016">
        <f t="shared" si="30"/>
        <v>2016</v>
      </c>
      <c r="Q59" s="1016">
        <f t="shared" si="30"/>
        <v>2017</v>
      </c>
      <c r="R59" s="1016">
        <f t="shared" si="30"/>
        <v>2018</v>
      </c>
      <c r="S59" s="1016">
        <f t="shared" si="30"/>
        <v>2019</v>
      </c>
      <c r="T59" s="1016">
        <f t="shared" si="31"/>
        <v>2020</v>
      </c>
      <c r="U59" s="1016">
        <f t="shared" si="31"/>
        <v>2021</v>
      </c>
      <c r="V59" s="1016">
        <f>+V9</f>
        <v>2022</v>
      </c>
    </row>
    <row r="60" spans="1:57" s="524" customFormat="1" ht="20.100000000000001" customHeight="1">
      <c r="A60" s="1053">
        <v>1</v>
      </c>
      <c r="B60" s="997" t="s">
        <v>185</v>
      </c>
      <c r="C60" s="998">
        <f t="shared" si="28"/>
        <v>2620379</v>
      </c>
      <c r="D60" s="998">
        <f t="shared" si="28"/>
        <v>2725194.16</v>
      </c>
      <c r="E60" s="998">
        <f t="shared" si="28"/>
        <v>2725194.16</v>
      </c>
      <c r="F60" s="1002"/>
      <c r="G60" s="999">
        <f>+G10</f>
        <v>5400742.3824000005</v>
      </c>
      <c r="H60" s="999">
        <f t="shared" si="29"/>
        <v>5741239</v>
      </c>
      <c r="I60" s="999">
        <f t="shared" si="29"/>
        <v>5672107.3600000003</v>
      </c>
      <c r="J60" s="999">
        <f t="shared" si="29"/>
        <v>5898991.6543999994</v>
      </c>
      <c r="K60" s="999">
        <f t="shared" si="29"/>
        <v>6134951.320576</v>
      </c>
      <c r="L60" s="999">
        <f>+L10</f>
        <v>6428349.3726950409</v>
      </c>
      <c r="M60" s="999">
        <f t="shared" si="29"/>
        <v>6685483.3476028424</v>
      </c>
      <c r="N60" s="999">
        <f t="shared" si="29"/>
        <v>6952902.6815069569</v>
      </c>
      <c r="O60" s="999">
        <f t="shared" si="29"/>
        <v>7231018.7887672344</v>
      </c>
      <c r="P60" s="999">
        <f t="shared" si="30"/>
        <v>7520259.5403179247</v>
      </c>
      <c r="Q60" s="999">
        <f t="shared" si="30"/>
        <v>7821069.9219306409</v>
      </c>
      <c r="R60" s="999">
        <f t="shared" si="30"/>
        <v>8133912.7188078668</v>
      </c>
      <c r="S60" s="999">
        <f t="shared" si="30"/>
        <v>8459269.2275601812</v>
      </c>
      <c r="T60" s="999">
        <f t="shared" si="31"/>
        <v>8797639.9966625907</v>
      </c>
      <c r="U60" s="999">
        <f t="shared" si="31"/>
        <v>9149545.5965290926</v>
      </c>
      <c r="V60" s="999">
        <f>+V10</f>
        <v>9515527.4203902576</v>
      </c>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523"/>
      <c r="AZ60" s="523"/>
      <c r="BA60" s="523"/>
      <c r="BB60" s="523"/>
      <c r="BC60" s="523"/>
      <c r="BD60" s="523"/>
      <c r="BE60" s="523"/>
    </row>
    <row r="61" spans="1:57" s="524" customFormat="1" ht="20.100000000000001" customHeight="1">
      <c r="A61" s="1054">
        <v>2</v>
      </c>
      <c r="B61" s="1004" t="s">
        <v>138</v>
      </c>
      <c r="C61" s="998" t="e">
        <f>+C16</f>
        <v>#N/A</v>
      </c>
      <c r="D61" s="998" t="e">
        <f>+D16</f>
        <v>#N/A</v>
      </c>
      <c r="E61" s="998" t="e">
        <f>+E16</f>
        <v>#N/A</v>
      </c>
      <c r="F61" s="1002"/>
      <c r="G61" s="999">
        <f t="shared" ref="G61:O61" si="32">+G16</f>
        <v>512962</v>
      </c>
      <c r="H61" s="999">
        <f t="shared" si="32"/>
        <v>749624</v>
      </c>
      <c r="I61" s="999">
        <f t="shared" si="32"/>
        <v>617005.91999999993</v>
      </c>
      <c r="J61" s="999">
        <f t="shared" si="32"/>
        <v>640647.1568</v>
      </c>
      <c r="K61" s="999">
        <f t="shared" si="32"/>
        <v>666273.02752</v>
      </c>
      <c r="L61" s="999">
        <f t="shared" si="32"/>
        <v>711524.18862079992</v>
      </c>
      <c r="M61" s="999">
        <f t="shared" si="32"/>
        <v>739985.15616563195</v>
      </c>
      <c r="N61" s="999">
        <f t="shared" si="32"/>
        <v>769583.56241225731</v>
      </c>
      <c r="O61" s="999">
        <f t="shared" si="32"/>
        <v>800367.94490874768</v>
      </c>
      <c r="P61" s="999">
        <f t="shared" ref="P61:U61" si="33">+P16</f>
        <v>832382.66270509758</v>
      </c>
      <c r="Q61" s="999">
        <f t="shared" si="33"/>
        <v>865677.96921330155</v>
      </c>
      <c r="R61" s="999">
        <f t="shared" si="33"/>
        <v>900305.08798183361</v>
      </c>
      <c r="S61" s="999">
        <f t="shared" si="33"/>
        <v>936317.29150110716</v>
      </c>
      <c r="T61" s="999">
        <f t="shared" si="33"/>
        <v>973769.98316115129</v>
      </c>
      <c r="U61" s="999">
        <f t="shared" si="33"/>
        <v>1012720.7824875974</v>
      </c>
      <c r="V61" s="999">
        <f>+V16</f>
        <v>1053228.6137871016</v>
      </c>
      <c r="W61" s="523"/>
      <c r="X61" s="523"/>
      <c r="Y61" s="523"/>
      <c r="Z61" s="523"/>
      <c r="AA61" s="523"/>
      <c r="AB61" s="523"/>
      <c r="AC61" s="523"/>
      <c r="AD61" s="523"/>
      <c r="AE61" s="523"/>
      <c r="AF61" s="523"/>
      <c r="AG61" s="523"/>
      <c r="AH61" s="523"/>
      <c r="AI61" s="523"/>
      <c r="AJ61" s="523"/>
      <c r="AK61" s="523"/>
      <c r="AL61" s="523"/>
      <c r="AM61" s="523"/>
      <c r="AN61" s="523"/>
      <c r="AO61" s="523"/>
      <c r="AP61" s="523"/>
      <c r="AQ61" s="523"/>
      <c r="AR61" s="523"/>
      <c r="AS61" s="523"/>
      <c r="AT61" s="523"/>
      <c r="AU61" s="523"/>
      <c r="AV61" s="523"/>
      <c r="AW61" s="523"/>
      <c r="AX61" s="523"/>
      <c r="AY61" s="523"/>
      <c r="AZ61" s="523"/>
      <c r="BA61" s="523"/>
      <c r="BB61" s="523"/>
      <c r="BC61" s="523"/>
      <c r="BD61" s="523"/>
      <c r="BE61" s="523"/>
    </row>
    <row r="62" spans="1:57" s="524" customFormat="1" ht="20.100000000000001" customHeight="1">
      <c r="A62" s="1054">
        <v>3</v>
      </c>
      <c r="B62" s="1005" t="s">
        <v>208</v>
      </c>
      <c r="C62" s="998" t="e">
        <f>+C22</f>
        <v>#N/A</v>
      </c>
      <c r="D62" s="998" t="e">
        <f>+D22</f>
        <v>#N/A</v>
      </c>
      <c r="E62" s="998" t="e">
        <f>+E22</f>
        <v>#N/A</v>
      </c>
      <c r="F62" s="1002"/>
      <c r="G62" s="999">
        <f t="shared" ref="G62:O62" si="34">+G22</f>
        <v>4887780.3824000005</v>
      </c>
      <c r="H62" s="999">
        <f t="shared" si="34"/>
        <v>4991615</v>
      </c>
      <c r="I62" s="999">
        <f t="shared" si="34"/>
        <v>5055101.4400000004</v>
      </c>
      <c r="J62" s="999">
        <f t="shared" si="34"/>
        <v>5258344.4975999994</v>
      </c>
      <c r="K62" s="999">
        <f t="shared" si="34"/>
        <v>5468678.293056</v>
      </c>
      <c r="L62" s="999">
        <f t="shared" si="34"/>
        <v>5716825.1840742407</v>
      </c>
      <c r="M62" s="999">
        <f t="shared" si="34"/>
        <v>5945498.1914372109</v>
      </c>
      <c r="N62" s="999">
        <f t="shared" si="34"/>
        <v>6183319.1190946996</v>
      </c>
      <c r="O62" s="999">
        <f t="shared" si="34"/>
        <v>6430650.843858487</v>
      </c>
      <c r="P62" s="999">
        <f t="shared" ref="P62:U62" si="35">+P22</f>
        <v>6687876.8776128273</v>
      </c>
      <c r="Q62" s="999">
        <f t="shared" si="35"/>
        <v>6955391.9527173396</v>
      </c>
      <c r="R62" s="999">
        <f t="shared" si="35"/>
        <v>7233607.6308260337</v>
      </c>
      <c r="S62" s="999">
        <f t="shared" si="35"/>
        <v>7522951.9360590745</v>
      </c>
      <c r="T62" s="999">
        <f t="shared" si="35"/>
        <v>7823870.0135014392</v>
      </c>
      <c r="U62" s="999">
        <f t="shared" si="35"/>
        <v>8136824.8140414953</v>
      </c>
      <c r="V62" s="999">
        <f>+V22</f>
        <v>8462298.806603156</v>
      </c>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3"/>
      <c r="AY62" s="523"/>
      <c r="AZ62" s="523"/>
      <c r="BA62" s="523"/>
      <c r="BB62" s="523"/>
      <c r="BC62" s="523"/>
      <c r="BD62" s="523"/>
      <c r="BE62" s="523"/>
    </row>
    <row r="63" spans="1:57" s="524" customFormat="1" ht="20.100000000000001" customHeight="1">
      <c r="A63" s="1054">
        <v>4</v>
      </c>
      <c r="B63" s="1005" t="s">
        <v>259</v>
      </c>
      <c r="C63" s="998">
        <f>+C25</f>
        <v>0</v>
      </c>
      <c r="D63" s="998">
        <f>+D41</f>
        <v>35000</v>
      </c>
      <c r="E63" s="998">
        <f>+E41</f>
        <v>35000</v>
      </c>
      <c r="F63" s="1000"/>
      <c r="G63" s="999">
        <f>+G41</f>
        <v>280000</v>
      </c>
      <c r="H63" s="999">
        <f t="shared" ref="H63:O64" si="36">+H41</f>
        <v>159788</v>
      </c>
      <c r="I63" s="999">
        <f t="shared" si="36"/>
        <v>118118</v>
      </c>
      <c r="J63" s="999">
        <f t="shared" si="36"/>
        <v>298923</v>
      </c>
      <c r="K63" s="999">
        <f t="shared" si="36"/>
        <v>17923</v>
      </c>
      <c r="L63" s="999">
        <f t="shared" si="36"/>
        <v>150000</v>
      </c>
      <c r="M63" s="999">
        <f t="shared" si="36"/>
        <v>50000</v>
      </c>
      <c r="N63" s="999">
        <f t="shared" si="36"/>
        <v>0</v>
      </c>
      <c r="O63" s="999">
        <f t="shared" si="36"/>
        <v>0</v>
      </c>
      <c r="P63" s="999">
        <f t="shared" ref="P63:S64" si="37">+P41</f>
        <v>0</v>
      </c>
      <c r="Q63" s="999">
        <f t="shared" si="37"/>
        <v>0</v>
      </c>
      <c r="R63" s="999">
        <f t="shared" si="37"/>
        <v>0</v>
      </c>
      <c r="S63" s="999">
        <f t="shared" si="37"/>
        <v>0</v>
      </c>
      <c r="T63" s="999">
        <f t="shared" ref="T63:V64" si="38">+T41</f>
        <v>0</v>
      </c>
      <c r="U63" s="999">
        <f t="shared" si="38"/>
        <v>0</v>
      </c>
      <c r="V63" s="999">
        <f t="shared" si="38"/>
        <v>0</v>
      </c>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row>
    <row r="64" spans="1:57" s="524" customFormat="1" ht="20.100000000000001" customHeight="1" thickBot="1">
      <c r="A64" s="530">
        <v>5</v>
      </c>
      <c r="B64" s="1005" t="s">
        <v>260</v>
      </c>
      <c r="C64" s="998">
        <f>+C33</f>
        <v>0</v>
      </c>
      <c r="D64" s="998">
        <f>+D42</f>
        <v>44000</v>
      </c>
      <c r="E64" s="998">
        <f>+E42</f>
        <v>44000</v>
      </c>
      <c r="F64" s="1000"/>
      <c r="G64" s="999">
        <f>+G42</f>
        <v>81000</v>
      </c>
      <c r="H64" s="999">
        <f t="shared" si="36"/>
        <v>69000</v>
      </c>
      <c r="I64" s="999">
        <f t="shared" si="36"/>
        <v>65000</v>
      </c>
      <c r="J64" s="999">
        <f t="shared" si="36"/>
        <v>24000</v>
      </c>
      <c r="K64" s="999">
        <f t="shared" si="36"/>
        <v>33000</v>
      </c>
      <c r="L64" s="999">
        <f t="shared" si="36"/>
        <v>4035</v>
      </c>
      <c r="M64" s="999">
        <f t="shared" si="36"/>
        <v>4000</v>
      </c>
      <c r="N64" s="999">
        <f t="shared" si="36"/>
        <v>3000</v>
      </c>
      <c r="O64" s="999">
        <f t="shared" si="36"/>
        <v>0</v>
      </c>
      <c r="P64" s="999">
        <f t="shared" si="37"/>
        <v>0</v>
      </c>
      <c r="Q64" s="999">
        <f t="shared" si="37"/>
        <v>0</v>
      </c>
      <c r="R64" s="999">
        <f t="shared" si="37"/>
        <v>0</v>
      </c>
      <c r="S64" s="999">
        <f t="shared" si="37"/>
        <v>0</v>
      </c>
      <c r="T64" s="999">
        <f t="shared" si="38"/>
        <v>0</v>
      </c>
      <c r="U64" s="999">
        <f t="shared" si="38"/>
        <v>0</v>
      </c>
      <c r="V64" s="999">
        <f t="shared" si="38"/>
        <v>0</v>
      </c>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3"/>
      <c r="AY64" s="523"/>
      <c r="AZ64" s="523"/>
      <c r="BA64" s="523"/>
      <c r="BB64" s="523"/>
      <c r="BC64" s="523"/>
      <c r="BD64" s="523"/>
      <c r="BE64" s="523"/>
    </row>
    <row r="65" spans="1:57" ht="16.5" thickBot="1">
      <c r="A65" s="498"/>
      <c r="B65" s="1060"/>
      <c r="C65" s="1061"/>
      <c r="D65" s="1062"/>
      <c r="E65" s="1062"/>
      <c r="F65" s="1063"/>
      <c r="G65" s="999"/>
      <c r="H65" s="999"/>
      <c r="I65" s="999"/>
      <c r="J65" s="999"/>
      <c r="K65" s="999"/>
      <c r="L65" s="999"/>
      <c r="M65" s="999"/>
      <c r="N65" s="999"/>
      <c r="O65" s="999"/>
      <c r="P65" s="999"/>
      <c r="Q65" s="999"/>
      <c r="R65" s="999"/>
      <c r="S65" s="999"/>
      <c r="T65" s="999"/>
      <c r="U65" s="999"/>
      <c r="V65" s="999"/>
    </row>
    <row r="66" spans="1:57" ht="15.75">
      <c r="A66" s="1055" t="s">
        <v>249</v>
      </c>
      <c r="B66" s="1064" t="s">
        <v>261</v>
      </c>
      <c r="C66" s="1065"/>
      <c r="D66" s="1066" t="e">
        <f>+D43</f>
        <v>#N/A</v>
      </c>
      <c r="E66" s="1066" t="e">
        <f>+E43</f>
        <v>#N/A</v>
      </c>
      <c r="F66" s="1063"/>
      <c r="G66" s="1011">
        <f>+G43</f>
        <v>1.657193933910495E-2</v>
      </c>
      <c r="H66" s="1011">
        <f t="shared" ref="H66:O67" si="39">+H43</f>
        <v>1.3823181475334135E-2</v>
      </c>
      <c r="I66" s="1011">
        <f t="shared" si="39"/>
        <v>1.2858297854454132E-2</v>
      </c>
      <c r="J66" s="1011">
        <f t="shared" si="39"/>
        <v>4.564174144724451E-3</v>
      </c>
      <c r="K66" s="1011">
        <f t="shared" si="39"/>
        <v>6.0343648376432434E-3</v>
      </c>
      <c r="L66" s="1011">
        <f t="shared" si="39"/>
        <v>7.0581133235289074E-4</v>
      </c>
      <c r="M66" s="1011">
        <f t="shared" si="39"/>
        <v>6.7277793570955178E-4</v>
      </c>
      <c r="N66" s="1011">
        <f t="shared" si="39"/>
        <v>4.8517631747902254E-4</v>
      </c>
      <c r="O66" s="1011">
        <f t="shared" si="39"/>
        <v>0</v>
      </c>
      <c r="P66" s="1011">
        <f t="shared" ref="P66:S67" si="40">+P43</f>
        <v>0</v>
      </c>
      <c r="Q66" s="1011">
        <f t="shared" si="40"/>
        <v>0</v>
      </c>
      <c r="R66" s="1011">
        <f t="shared" si="40"/>
        <v>0</v>
      </c>
      <c r="S66" s="1011">
        <f t="shared" si="40"/>
        <v>0</v>
      </c>
      <c r="T66" s="1011">
        <f t="shared" ref="T66:V67" si="41">+T43</f>
        <v>0</v>
      </c>
      <c r="U66" s="1011">
        <f t="shared" si="41"/>
        <v>0</v>
      </c>
      <c r="V66" s="1011">
        <f t="shared" si="41"/>
        <v>0</v>
      </c>
    </row>
    <row r="67" spans="1:57" ht="15.75">
      <c r="A67" s="1056" t="s">
        <v>251</v>
      </c>
      <c r="B67" s="1060" t="s">
        <v>262</v>
      </c>
      <c r="C67" s="1065"/>
      <c r="D67" s="1066">
        <f>+D44</f>
        <v>1.2843121607159174E-2</v>
      </c>
      <c r="E67" s="1066">
        <f>+E44</f>
        <v>1.2843121607159174E-2</v>
      </c>
      <c r="F67" s="1063"/>
      <c r="G67" s="1011">
        <f>+G44</f>
        <v>5.1844724331319175E-2</v>
      </c>
      <c r="H67" s="1011">
        <f t="shared" si="39"/>
        <v>2.7831623104350819E-2</v>
      </c>
      <c r="I67" s="1011">
        <f t="shared" si="39"/>
        <v>2.0824359008606633E-2</v>
      </c>
      <c r="J67" s="1011">
        <f t="shared" si="39"/>
        <v>5.0673575674079194E-2</v>
      </c>
      <c r="K67" s="1011">
        <f t="shared" si="39"/>
        <v>2.9214575737362557E-3</v>
      </c>
      <c r="L67" s="1011">
        <f t="shared" si="39"/>
        <v>2.3334139341762868E-2</v>
      </c>
      <c r="M67" s="1011">
        <f t="shared" si="39"/>
        <v>7.4788908146675853E-3</v>
      </c>
      <c r="N67" s="1011">
        <f t="shared" si="39"/>
        <v>0</v>
      </c>
      <c r="O67" s="1011">
        <f t="shared" si="39"/>
        <v>0</v>
      </c>
      <c r="P67" s="1011">
        <f t="shared" si="40"/>
        <v>0</v>
      </c>
      <c r="Q67" s="1011">
        <f t="shared" si="40"/>
        <v>0</v>
      </c>
      <c r="R67" s="1011">
        <f t="shared" si="40"/>
        <v>0</v>
      </c>
      <c r="S67" s="1011">
        <f t="shared" si="40"/>
        <v>0</v>
      </c>
      <c r="T67" s="1011">
        <f t="shared" si="41"/>
        <v>0</v>
      </c>
      <c r="U67" s="1011">
        <f t="shared" si="41"/>
        <v>0</v>
      </c>
      <c r="V67" s="1011">
        <f t="shared" si="41"/>
        <v>0</v>
      </c>
    </row>
    <row r="68" spans="1:57" ht="16.5" hidden="1" thickBot="1">
      <c r="A68" s="483" t="s">
        <v>253</v>
      </c>
      <c r="B68" s="1060" t="s">
        <v>254</v>
      </c>
      <c r="C68" s="1067"/>
      <c r="D68" s="1068" t="e">
        <f>IF(D66&lt;0,0,IF(D67&gt;0.8,0,IF(D66&gt;0.4,0,IF(D66&lt;=0.4,-1))))</f>
        <v>#N/A</v>
      </c>
      <c r="E68" s="1068" t="e">
        <f>IF(E66&lt;0,0,IF(E67&gt;0.8,0,IF(E66&gt;0.4,0,IF(E66&lt;=0.4,-1))))</f>
        <v>#N/A</v>
      </c>
      <c r="F68" s="1063"/>
      <c r="G68" s="1069" t="str">
        <f t="shared" ref="G68:O68" si="42">IF(G66&lt;0,"AHORRO NEGATIVO",IF(G67&gt;0.8,"ROJO",IF(G66&gt;0.4,"ROJO",IF(G66&lt;=0.4,"VERDE"))))</f>
        <v>VERDE</v>
      </c>
      <c r="H68" s="1069" t="str">
        <f t="shared" si="42"/>
        <v>VERDE</v>
      </c>
      <c r="I68" s="1069" t="str">
        <f t="shared" si="42"/>
        <v>VERDE</v>
      </c>
      <c r="J68" s="1069" t="str">
        <f t="shared" si="42"/>
        <v>VERDE</v>
      </c>
      <c r="K68" s="1069" t="str">
        <f t="shared" si="42"/>
        <v>VERDE</v>
      </c>
      <c r="L68" s="1069" t="str">
        <f t="shared" si="42"/>
        <v>VERDE</v>
      </c>
      <c r="M68" s="1069" t="str">
        <f t="shared" si="42"/>
        <v>VERDE</v>
      </c>
      <c r="N68" s="1069" t="str">
        <f t="shared" si="42"/>
        <v>VERDE</v>
      </c>
      <c r="O68" s="1069" t="str">
        <f t="shared" si="42"/>
        <v>VERDE</v>
      </c>
      <c r="P68" s="1069" t="str">
        <f t="shared" ref="P68:V68" si="43">IF(P66&lt;0,"AHORRO NEGATIVO",IF(P67&gt;0.8,"ROJO",IF(P66&gt;0.4,"ROJO",IF(P66&lt;=0.4,"VERDE"))))</f>
        <v>VERDE</v>
      </c>
      <c r="Q68" s="1069" t="str">
        <f t="shared" si="43"/>
        <v>VERDE</v>
      </c>
      <c r="R68" s="1069" t="str">
        <f t="shared" si="43"/>
        <v>VERDE</v>
      </c>
      <c r="S68" s="1069" t="str">
        <f t="shared" si="43"/>
        <v>VERDE</v>
      </c>
      <c r="T68" s="1069" t="str">
        <f t="shared" si="43"/>
        <v>VERDE</v>
      </c>
      <c r="U68" s="1069" t="str">
        <f t="shared" si="43"/>
        <v>VERDE</v>
      </c>
      <c r="V68" s="1069" t="str">
        <f t="shared" si="43"/>
        <v>VERDE</v>
      </c>
    </row>
    <row r="69" spans="1:57" s="524" customFormat="1" ht="37.5" customHeight="1">
      <c r="A69" s="523"/>
      <c r="B69" s="1005" t="s">
        <v>254</v>
      </c>
      <c r="C69" s="1012" t="str">
        <f>IF(C66&lt;0,"AHORRO NEGATIVO",IF(C67&gt;0.8,"ROJO",IF(C66&gt;0.4,"ROJO",IF(C66&lt;=0.4,"VERDE"))))</f>
        <v>VERDE</v>
      </c>
      <c r="D69" s="1012" t="e">
        <f>IF(D66&lt;0,"AHORRO NEGATIVO",IF(D67&gt;0.8,"ROJO",IF(D66&gt;0.4,"ROJO",IF(D66&lt;=0.4,"VERDE"))))</f>
        <v>#N/A</v>
      </c>
      <c r="E69" s="1012" t="e">
        <f>IF(E66&lt;0,"AHORRO NEGATIVO",IF(E67&gt;0.8,"ROJO",IF(E66&gt;0.4,"ROJO",IF(E66&lt;=0.4,"VERDE"))))</f>
        <v>#N/A</v>
      </c>
      <c r="F69" s="1000"/>
      <c r="G69" s="1012" t="str">
        <f t="shared" ref="G69:O69" si="44">IF(G66&lt;0,"AHORRO NEGATIVO",IF(G67&gt;0.8,"ROJO",IF(G66&gt;0.4,"ROJO",IF(G66&lt;=0.4,"VERDE"))))</f>
        <v>VERDE</v>
      </c>
      <c r="H69" s="1012" t="str">
        <f t="shared" si="44"/>
        <v>VERDE</v>
      </c>
      <c r="I69" s="1012" t="str">
        <f t="shared" si="44"/>
        <v>VERDE</v>
      </c>
      <c r="J69" s="1012" t="str">
        <f t="shared" si="44"/>
        <v>VERDE</v>
      </c>
      <c r="K69" s="1012" t="str">
        <f t="shared" si="44"/>
        <v>VERDE</v>
      </c>
      <c r="L69" s="1012" t="str">
        <f t="shared" si="44"/>
        <v>VERDE</v>
      </c>
      <c r="M69" s="1012" t="str">
        <f t="shared" si="44"/>
        <v>VERDE</v>
      </c>
      <c r="N69" s="1012" t="str">
        <f t="shared" si="44"/>
        <v>VERDE</v>
      </c>
      <c r="O69" s="1012" t="str">
        <f t="shared" si="44"/>
        <v>VERDE</v>
      </c>
      <c r="P69" s="1012" t="str">
        <f t="shared" ref="P69:U69" si="45">IF(P66&lt;0,"AHORRO NEGATIVO",IF(P67&gt;0.8,"ROJO",IF(P66&gt;0.4,"ROJO",IF(P66&lt;=0.4,"VERDE"))))</f>
        <v>VERDE</v>
      </c>
      <c r="Q69" s="1012" t="str">
        <f t="shared" si="45"/>
        <v>VERDE</v>
      </c>
      <c r="R69" s="1012" t="str">
        <f t="shared" si="45"/>
        <v>VERDE</v>
      </c>
      <c r="S69" s="1012" t="str">
        <f t="shared" si="45"/>
        <v>VERDE</v>
      </c>
      <c r="T69" s="1012" t="str">
        <f t="shared" si="45"/>
        <v>VERDE</v>
      </c>
      <c r="U69" s="1012" t="str">
        <f t="shared" si="45"/>
        <v>VERDE</v>
      </c>
      <c r="V69" s="1012" t="str">
        <f>IF(V66&lt;0,"AHORRO NEGATIVO",IF(V67&gt;0.8,"ROJO",IF(V66&gt;0.4,"ROJO",IF(V66&lt;=0.4,"VERDE"))))</f>
        <v>VERDE</v>
      </c>
      <c r="W69" s="523"/>
      <c r="X69" s="523"/>
      <c r="Y69" s="523"/>
      <c r="Z69" s="523"/>
      <c r="AA69" s="523"/>
      <c r="AB69" s="523"/>
      <c r="AC69" s="523"/>
      <c r="AD69" s="523"/>
      <c r="AE69" s="523"/>
      <c r="AF69" s="523"/>
      <c r="AG69" s="523"/>
      <c r="AH69" s="523"/>
      <c r="AI69" s="523"/>
      <c r="AJ69" s="523"/>
      <c r="AK69" s="523"/>
      <c r="AL69" s="523"/>
      <c r="AM69" s="523"/>
      <c r="AN69" s="523"/>
      <c r="AO69" s="523"/>
      <c r="AP69" s="523"/>
      <c r="AQ69" s="523"/>
      <c r="AR69" s="523"/>
      <c r="AS69" s="523"/>
      <c r="AT69" s="523"/>
      <c r="AU69" s="523"/>
      <c r="AV69" s="523"/>
      <c r="AW69" s="523"/>
      <c r="AX69" s="523"/>
      <c r="AY69" s="523"/>
      <c r="AZ69" s="523"/>
      <c r="BA69" s="523"/>
      <c r="BB69" s="523"/>
      <c r="BC69" s="523"/>
      <c r="BD69" s="523"/>
      <c r="BE69" s="523"/>
    </row>
    <row r="70" spans="1:57">
      <c r="A70" s="499"/>
      <c r="B70" s="486"/>
      <c r="C70" s="487"/>
      <c r="D70" s="486"/>
      <c r="E70" s="486"/>
    </row>
    <row r="71" spans="1:57" ht="6" customHeight="1">
      <c r="A71" s="486"/>
      <c r="B71" s="486"/>
      <c r="C71" s="486"/>
      <c r="D71" s="486"/>
      <c r="E71" s="486"/>
    </row>
    <row r="72" spans="1:57" ht="6" hidden="1" customHeight="1">
      <c r="A72" s="486"/>
      <c r="B72" s="486"/>
      <c r="C72" s="486"/>
      <c r="D72" s="486"/>
      <c r="E72" s="486"/>
    </row>
    <row r="73" spans="1:57" ht="6" hidden="1" customHeight="1" thickBot="1">
      <c r="A73" s="486"/>
      <c r="B73" s="486"/>
      <c r="C73" s="486"/>
      <c r="D73" s="486"/>
      <c r="E73" s="486"/>
    </row>
    <row r="74" spans="1:57" ht="15.75" hidden="1" thickBot="1">
      <c r="A74" s="479" t="s">
        <v>263</v>
      </c>
      <c r="B74" s="827" t="s">
        <v>480</v>
      </c>
      <c r="C74" s="484"/>
      <c r="D74" s="485"/>
      <c r="E74" s="902"/>
      <c r="F74" s="861"/>
      <c r="G74" s="487" t="s">
        <v>267</v>
      </c>
    </row>
    <row r="75" spans="1:57">
      <c r="A75" s="486"/>
      <c r="B75" s="486"/>
      <c r="C75" s="486"/>
      <c r="D75" s="486"/>
      <c r="E75" s="486"/>
    </row>
    <row r="76" spans="1:57">
      <c r="A76" s="486"/>
      <c r="B76" s="486"/>
      <c r="C76" s="486"/>
      <c r="D76" s="486"/>
      <c r="E76" s="486"/>
    </row>
    <row r="77" spans="1:57">
      <c r="A77" s="486"/>
      <c r="B77" s="1102"/>
      <c r="C77"/>
      <c r="D77"/>
      <c r="E77"/>
      <c r="F77"/>
      <c r="G77"/>
      <c r="H77"/>
      <c r="I77"/>
    </row>
    <row r="78" spans="1:57">
      <c r="A78" s="486"/>
      <c r="B78" s="1102"/>
      <c r="C78"/>
      <c r="D78"/>
      <c r="E78"/>
      <c r="F78"/>
      <c r="G78"/>
      <c r="H78"/>
      <c r="I78"/>
    </row>
    <row r="79" spans="1:57">
      <c r="A79" s="486"/>
      <c r="B79" s="1102"/>
      <c r="C79"/>
      <c r="D79"/>
      <c r="E79"/>
      <c r="F79"/>
      <c r="G79"/>
      <c r="H79"/>
      <c r="I79"/>
    </row>
    <row r="80" spans="1:57">
      <c r="A80" s="486"/>
      <c r="B80" s="1102"/>
      <c r="C80"/>
      <c r="D80"/>
      <c r="E80"/>
      <c r="F80"/>
      <c r="G80"/>
      <c r="H80"/>
      <c r="I80"/>
    </row>
    <row r="81" spans="1:9">
      <c r="A81" s="486"/>
      <c r="B81" s="1102"/>
      <c r="C81"/>
      <c r="D81"/>
      <c r="E81"/>
      <c r="F81"/>
      <c r="G81"/>
      <c r="H81"/>
      <c r="I81"/>
    </row>
    <row r="82" spans="1:9">
      <c r="A82" s="486"/>
      <c r="B82" s="1102"/>
      <c r="C82"/>
      <c r="D82"/>
      <c r="E82"/>
      <c r="F82"/>
      <c r="G82"/>
      <c r="H82"/>
      <c r="I82"/>
    </row>
    <row r="83" spans="1:9">
      <c r="A83" s="486"/>
      <c r="B83" s="1102"/>
      <c r="C83"/>
      <c r="D83"/>
      <c r="E83"/>
      <c r="F83"/>
      <c r="G83"/>
      <c r="H83"/>
      <c r="I83"/>
    </row>
    <row r="84" spans="1:9">
      <c r="A84" s="486"/>
      <c r="B84" s="1241" t="s">
        <v>264</v>
      </c>
      <c r="C84"/>
      <c r="D84"/>
      <c r="E84"/>
      <c r="F84"/>
      <c r="G84"/>
      <c r="H84"/>
      <c r="I84"/>
    </row>
    <row r="85" spans="1:9">
      <c r="A85" s="486"/>
      <c r="B85" s="1241" t="s">
        <v>265</v>
      </c>
      <c r="C85"/>
      <c r="D85"/>
      <c r="E85"/>
      <c r="F85"/>
      <c r="G85"/>
      <c r="H85"/>
      <c r="I85"/>
    </row>
    <row r="86" spans="1:9">
      <c r="A86" s="486"/>
      <c r="B86" s="1263" t="s">
        <v>266</v>
      </c>
      <c r="C86"/>
      <c r="D86"/>
      <c r="E86"/>
      <c r="F86"/>
      <c r="G86"/>
      <c r="H86"/>
      <c r="I86"/>
    </row>
    <row r="87" spans="1:9">
      <c r="A87" s="486"/>
      <c r="B87" s="486"/>
      <c r="C87" s="486"/>
      <c r="D87" s="486"/>
      <c r="E87" s="486"/>
    </row>
    <row r="88" spans="1:9">
      <c r="A88" s="486"/>
      <c r="B88" s="486"/>
      <c r="C88" s="486"/>
      <c r="D88" s="486"/>
      <c r="E88" s="486"/>
    </row>
    <row r="89" spans="1:9">
      <c r="A89" s="486"/>
      <c r="B89" s="486"/>
      <c r="C89" s="486"/>
      <c r="D89" s="486"/>
      <c r="E89" s="486"/>
    </row>
    <row r="90" spans="1:9">
      <c r="A90" s="486"/>
      <c r="B90" s="486"/>
      <c r="C90" s="486"/>
      <c r="D90" s="486"/>
      <c r="E90" s="486"/>
    </row>
    <row r="91" spans="1:9">
      <c r="A91" s="486"/>
      <c r="B91" s="486"/>
      <c r="C91" s="486"/>
      <c r="D91" s="486"/>
      <c r="E91" s="486"/>
    </row>
    <row r="92" spans="1:9">
      <c r="A92" s="486"/>
      <c r="B92" s="486"/>
      <c r="C92" s="486"/>
      <c r="D92" s="486"/>
      <c r="E92" s="486"/>
    </row>
    <row r="93" spans="1:9">
      <c r="A93" s="486"/>
      <c r="B93" s="486"/>
      <c r="C93" s="486"/>
      <c r="D93" s="486"/>
      <c r="E93" s="486"/>
    </row>
    <row r="94" spans="1:9">
      <c r="A94" s="486"/>
      <c r="B94" s="486"/>
      <c r="C94" s="486"/>
      <c r="D94" s="486"/>
      <c r="E94" s="486"/>
    </row>
    <row r="95" spans="1:9">
      <c r="A95" s="486"/>
      <c r="B95" s="486"/>
      <c r="C95" s="486"/>
      <c r="D95" s="486"/>
      <c r="E95" s="486"/>
    </row>
    <row r="96" spans="1:9">
      <c r="A96" s="486"/>
      <c r="B96" s="486"/>
      <c r="C96" s="486"/>
      <c r="D96" s="486"/>
      <c r="E96" s="486"/>
    </row>
    <row r="97" spans="1:5">
      <c r="A97" s="486"/>
      <c r="B97" s="486"/>
      <c r="C97" s="486"/>
      <c r="D97" s="486"/>
      <c r="E97" s="486"/>
    </row>
    <row r="98" spans="1:5">
      <c r="A98" s="486"/>
      <c r="B98" s="486"/>
      <c r="C98" s="486"/>
      <c r="D98" s="486"/>
      <c r="E98" s="486"/>
    </row>
    <row r="99" spans="1:5">
      <c r="A99" s="486"/>
      <c r="B99" s="486"/>
      <c r="C99" s="486"/>
      <c r="D99" s="486"/>
      <c r="E99" s="486"/>
    </row>
    <row r="100" spans="1:5">
      <c r="A100" s="486"/>
      <c r="B100" s="486"/>
      <c r="C100" s="486"/>
      <c r="D100" s="486"/>
      <c r="E100" s="486"/>
    </row>
    <row r="101" spans="1:5">
      <c r="A101" s="486"/>
      <c r="B101" s="486"/>
      <c r="C101" s="486"/>
      <c r="D101" s="486"/>
      <c r="E101" s="486"/>
    </row>
    <row r="102" spans="1:5">
      <c r="A102" s="486"/>
      <c r="B102" s="486"/>
      <c r="C102" s="486"/>
      <c r="D102" s="486"/>
      <c r="E102" s="486"/>
    </row>
    <row r="103" spans="1:5">
      <c r="A103" s="486"/>
      <c r="B103" s="486"/>
      <c r="C103" s="486"/>
      <c r="D103" s="486"/>
      <c r="E103" s="486"/>
    </row>
    <row r="104" spans="1:5">
      <c r="A104" s="486"/>
      <c r="B104" s="486"/>
      <c r="C104" s="486"/>
      <c r="D104" s="486"/>
      <c r="E104" s="486"/>
    </row>
    <row r="105" spans="1:5">
      <c r="A105" s="486"/>
      <c r="B105" s="486"/>
      <c r="C105" s="486"/>
      <c r="D105" s="486"/>
      <c r="E105" s="486"/>
    </row>
    <row r="106" spans="1:5">
      <c r="A106" s="486"/>
      <c r="B106" s="486"/>
      <c r="C106" s="486"/>
      <c r="D106" s="486"/>
      <c r="E106" s="486"/>
    </row>
    <row r="107" spans="1:5">
      <c r="A107" s="486"/>
      <c r="B107" s="486"/>
      <c r="C107" s="486"/>
      <c r="D107" s="486"/>
      <c r="E107" s="486"/>
    </row>
    <row r="108" spans="1:5">
      <c r="A108" s="486"/>
      <c r="B108" s="486"/>
      <c r="C108" s="486"/>
      <c r="D108" s="486"/>
      <c r="E108" s="486"/>
    </row>
    <row r="109" spans="1:5">
      <c r="A109" s="486"/>
      <c r="B109" s="486"/>
      <c r="C109" s="486"/>
      <c r="D109" s="486"/>
      <c r="E109" s="486"/>
    </row>
    <row r="110" spans="1:5">
      <c r="A110" s="486"/>
      <c r="B110" s="486"/>
      <c r="C110" s="486"/>
      <c r="D110" s="486"/>
      <c r="E110" s="486"/>
    </row>
    <row r="111" spans="1:5">
      <c r="A111" s="486"/>
      <c r="B111" s="486"/>
      <c r="C111" s="486"/>
      <c r="D111" s="486"/>
      <c r="E111" s="486"/>
    </row>
    <row r="112" spans="1:5">
      <c r="A112" s="486"/>
      <c r="B112" s="486"/>
      <c r="C112" s="486"/>
      <c r="D112" s="486"/>
      <c r="E112" s="486"/>
    </row>
    <row r="113" spans="1:5">
      <c r="A113" s="486"/>
      <c r="B113" s="486"/>
      <c r="C113" s="486"/>
      <c r="D113" s="486"/>
      <c r="E113" s="486"/>
    </row>
    <row r="114" spans="1:5">
      <c r="A114" s="486"/>
      <c r="B114" s="486"/>
      <c r="C114" s="486"/>
      <c r="D114" s="486"/>
      <c r="E114" s="486"/>
    </row>
    <row r="115" spans="1:5">
      <c r="A115" s="486"/>
      <c r="B115" s="486"/>
      <c r="C115" s="486"/>
      <c r="D115" s="486"/>
      <c r="E115" s="486"/>
    </row>
    <row r="116" spans="1:5">
      <c r="A116" s="486"/>
      <c r="B116" s="486"/>
      <c r="C116" s="486"/>
      <c r="D116" s="486"/>
      <c r="E116" s="486"/>
    </row>
    <row r="117" spans="1:5">
      <c r="A117" s="486"/>
      <c r="B117" s="486"/>
      <c r="C117" s="486"/>
      <c r="D117" s="486"/>
      <c r="E117" s="486"/>
    </row>
    <row r="118" spans="1:5">
      <c r="A118" s="486"/>
      <c r="B118" s="486"/>
      <c r="C118" s="486"/>
      <c r="D118" s="486"/>
      <c r="E118" s="486"/>
    </row>
    <row r="119" spans="1:5">
      <c r="A119" s="486"/>
      <c r="B119" s="486"/>
      <c r="C119" s="486"/>
      <c r="D119" s="486"/>
      <c r="E119" s="486"/>
    </row>
    <row r="120" spans="1:5">
      <c r="A120" s="486"/>
      <c r="B120" s="486"/>
      <c r="C120" s="486"/>
      <c r="D120" s="486"/>
      <c r="E120" s="486"/>
    </row>
    <row r="121" spans="1:5">
      <c r="A121" s="486"/>
      <c r="B121" s="486"/>
      <c r="C121" s="486"/>
      <c r="D121" s="486"/>
      <c r="E121" s="486"/>
    </row>
    <row r="122" spans="1:5">
      <c r="A122" s="486"/>
      <c r="B122" s="486"/>
      <c r="C122" s="486"/>
      <c r="D122" s="486"/>
      <c r="E122" s="486"/>
    </row>
    <row r="123" spans="1:5">
      <c r="A123" s="486"/>
      <c r="B123" s="486"/>
      <c r="C123" s="486"/>
      <c r="D123" s="486"/>
      <c r="E123" s="486"/>
    </row>
    <row r="124" spans="1:5">
      <c r="A124" s="486"/>
      <c r="B124" s="486"/>
      <c r="C124" s="486"/>
      <c r="D124" s="486"/>
      <c r="E124" s="486"/>
    </row>
    <row r="125" spans="1:5">
      <c r="A125" s="486"/>
      <c r="B125" s="486"/>
      <c r="C125" s="486"/>
      <c r="D125" s="486"/>
      <c r="E125" s="486"/>
    </row>
    <row r="126" spans="1:5">
      <c r="A126" s="486"/>
      <c r="B126" s="486"/>
      <c r="C126" s="486"/>
      <c r="D126" s="486"/>
      <c r="E126" s="486"/>
    </row>
    <row r="127" spans="1:5">
      <c r="A127" s="486"/>
      <c r="B127" s="486"/>
      <c r="C127" s="486"/>
      <c r="D127" s="486"/>
      <c r="E127" s="486"/>
    </row>
    <row r="128" spans="1:5">
      <c r="A128" s="486"/>
      <c r="B128" s="486"/>
      <c r="C128" s="486"/>
      <c r="D128" s="486"/>
      <c r="E128" s="486"/>
    </row>
  </sheetData>
  <mergeCells count="6">
    <mergeCell ref="B5:V5"/>
    <mergeCell ref="B6:V6"/>
    <mergeCell ref="B1:V1"/>
    <mergeCell ref="B2:V2"/>
    <mergeCell ref="B3:V3"/>
    <mergeCell ref="B4:V4"/>
  </mergeCells>
  <phoneticPr fontId="33" type="noConversion"/>
  <printOptions horizontalCentered="1"/>
  <pageMargins left="0.39370078740157483" right="0.39370078740157483" top="0.59055118110236227" bottom="0.39370078740157483" header="0" footer="0.19685039370078741"/>
  <pageSetup scale="54" fitToHeight="2" orientation="landscape" horizontalDpi="4294967294" r:id="rId1"/>
  <headerFooter alignWithMargins="0">
    <oddFooter>Página &amp;P de &amp;N</oddFooter>
  </headerFooter>
  <drawing r:id="rId2"/>
  <legacyDrawing r:id="rId3"/>
</worksheet>
</file>

<file path=xl/worksheets/sheet8.xml><?xml version="1.0" encoding="utf-8"?>
<worksheet xmlns="http://schemas.openxmlformats.org/spreadsheetml/2006/main" xmlns:r="http://schemas.openxmlformats.org/officeDocument/2006/relationships">
  <sheetPr codeName="Hoja6"/>
  <dimension ref="A1:Q106"/>
  <sheetViews>
    <sheetView topLeftCell="A66" workbookViewId="0">
      <selection activeCell="F27" sqref="F27"/>
    </sheetView>
  </sheetViews>
  <sheetFormatPr baseColWidth="10" defaultRowHeight="12.75"/>
  <cols>
    <col min="1" max="1" width="6.42578125" style="375" customWidth="1"/>
    <col min="2" max="2" width="64.42578125" style="375" customWidth="1"/>
    <col min="3" max="4" width="12.5703125" style="375" customWidth="1"/>
    <col min="5" max="5" width="15.42578125" style="375" customWidth="1"/>
    <col min="6" max="6" width="13" style="375" customWidth="1"/>
    <col min="7" max="7" width="12.85546875" style="375" customWidth="1"/>
    <col min="8" max="8" width="11.42578125" style="375"/>
    <col min="9" max="9" width="12.42578125" style="375" customWidth="1"/>
    <col min="10" max="16384" width="11.42578125" style="375"/>
  </cols>
  <sheetData>
    <row r="1" spans="1:17" ht="15" hidden="1" customHeight="1">
      <c r="B1" s="500" t="s">
        <v>32</v>
      </c>
      <c r="C1" s="501">
        <f>YEAR(Ingresos!I21)</f>
        <v>2002</v>
      </c>
      <c r="D1" s="501">
        <f>C1+1</f>
        <v>2003</v>
      </c>
      <c r="E1" s="501">
        <f t="shared" ref="E1:Q1" si="0">D1+1</f>
        <v>2004</v>
      </c>
      <c r="F1" s="501">
        <f t="shared" si="0"/>
        <v>2005</v>
      </c>
      <c r="G1" s="501">
        <f t="shared" si="0"/>
        <v>2006</v>
      </c>
      <c r="H1" s="501">
        <f t="shared" si="0"/>
        <v>2007</v>
      </c>
      <c r="I1" s="501">
        <f t="shared" si="0"/>
        <v>2008</v>
      </c>
      <c r="J1" s="501">
        <f t="shared" si="0"/>
        <v>2009</v>
      </c>
      <c r="K1" s="501">
        <f t="shared" si="0"/>
        <v>2010</v>
      </c>
      <c r="L1" s="501">
        <f t="shared" si="0"/>
        <v>2011</v>
      </c>
      <c r="M1" s="501">
        <f t="shared" si="0"/>
        <v>2012</v>
      </c>
      <c r="N1" s="501">
        <f t="shared" si="0"/>
        <v>2013</v>
      </c>
      <c r="O1" s="501">
        <f t="shared" si="0"/>
        <v>2014</v>
      </c>
      <c r="P1" s="501">
        <f t="shared" si="0"/>
        <v>2015</v>
      </c>
      <c r="Q1" s="501">
        <f t="shared" si="0"/>
        <v>2016</v>
      </c>
    </row>
    <row r="2" spans="1:17" ht="15" hidden="1" customHeight="1" thickBot="1">
      <c r="A2" s="527" t="s">
        <v>205</v>
      </c>
      <c r="B2" s="526" t="s">
        <v>206</v>
      </c>
      <c r="C2" s="903">
        <f>C3+C14</f>
        <v>0</v>
      </c>
      <c r="D2" s="903">
        <f t="shared" ref="D2:Q2" si="1">D3+D14</f>
        <v>0</v>
      </c>
      <c r="E2" s="903">
        <f t="shared" si="1"/>
        <v>0</v>
      </c>
      <c r="F2" s="903">
        <f t="shared" si="1"/>
        <v>0</v>
      </c>
      <c r="G2" s="903">
        <f t="shared" si="1"/>
        <v>0</v>
      </c>
      <c r="H2" s="903">
        <f t="shared" si="1"/>
        <v>0</v>
      </c>
      <c r="I2" s="903">
        <f t="shared" si="1"/>
        <v>0</v>
      </c>
      <c r="J2" s="903">
        <f t="shared" si="1"/>
        <v>0</v>
      </c>
      <c r="K2" s="903">
        <f t="shared" si="1"/>
        <v>0</v>
      </c>
      <c r="L2" s="903">
        <f t="shared" si="1"/>
        <v>0</v>
      </c>
      <c r="M2" s="903">
        <f t="shared" si="1"/>
        <v>0</v>
      </c>
      <c r="N2" s="903">
        <f t="shared" si="1"/>
        <v>0</v>
      </c>
      <c r="O2" s="903">
        <f t="shared" si="1"/>
        <v>0</v>
      </c>
      <c r="P2" s="903">
        <f t="shared" si="1"/>
        <v>0</v>
      </c>
      <c r="Q2" s="903">
        <f t="shared" si="1"/>
        <v>0</v>
      </c>
    </row>
    <row r="3" spans="1:17" s="415" customFormat="1" ht="15" hidden="1" customHeight="1">
      <c r="A3" s="504" t="s">
        <v>268</v>
      </c>
      <c r="B3" s="505" t="s">
        <v>269</v>
      </c>
      <c r="C3" s="507">
        <f>+SUM(C4:C13)</f>
        <v>0</v>
      </c>
      <c r="D3" s="507">
        <f t="shared" ref="D3:Q3" si="2">+SUM(D4:D13)</f>
        <v>0</v>
      </c>
      <c r="E3" s="507">
        <f t="shared" si="2"/>
        <v>0</v>
      </c>
      <c r="F3" s="507">
        <f t="shared" si="2"/>
        <v>0</v>
      </c>
      <c r="G3" s="507">
        <f t="shared" si="2"/>
        <v>0</v>
      </c>
      <c r="H3" s="507">
        <f t="shared" si="2"/>
        <v>0</v>
      </c>
      <c r="I3" s="507">
        <f t="shared" si="2"/>
        <v>0</v>
      </c>
      <c r="J3" s="507">
        <f t="shared" si="2"/>
        <v>0</v>
      </c>
      <c r="K3" s="507">
        <f t="shared" si="2"/>
        <v>0</v>
      </c>
      <c r="L3" s="507">
        <f t="shared" si="2"/>
        <v>0</v>
      </c>
      <c r="M3" s="507">
        <f t="shared" si="2"/>
        <v>0</v>
      </c>
      <c r="N3" s="507">
        <f t="shared" si="2"/>
        <v>0</v>
      </c>
      <c r="O3" s="507">
        <f t="shared" si="2"/>
        <v>0</v>
      </c>
      <c r="P3" s="507">
        <f t="shared" si="2"/>
        <v>0</v>
      </c>
      <c r="Q3" s="508">
        <f t="shared" si="2"/>
        <v>0</v>
      </c>
    </row>
    <row r="4" spans="1:17" s="415" customFormat="1" ht="15" hidden="1" customHeight="1">
      <c r="A4" s="509" t="s">
        <v>270</v>
      </c>
      <c r="B4" s="510" t="s">
        <v>271</v>
      </c>
      <c r="C4" s="511">
        <f>+C55</f>
        <v>0</v>
      </c>
      <c r="D4" s="511">
        <f t="shared" ref="D4:Q4" si="3">+D55</f>
        <v>0</v>
      </c>
      <c r="E4" s="511">
        <f t="shared" si="3"/>
        <v>0</v>
      </c>
      <c r="F4" s="511">
        <f t="shared" si="3"/>
        <v>0</v>
      </c>
      <c r="G4" s="511">
        <f t="shared" si="3"/>
        <v>0</v>
      </c>
      <c r="H4" s="511">
        <f t="shared" si="3"/>
        <v>0</v>
      </c>
      <c r="I4" s="511">
        <f t="shared" si="3"/>
        <v>0</v>
      </c>
      <c r="J4" s="511">
        <f t="shared" si="3"/>
        <v>0</v>
      </c>
      <c r="K4" s="511">
        <f t="shared" si="3"/>
        <v>0</v>
      </c>
      <c r="L4" s="511">
        <f t="shared" si="3"/>
        <v>0</v>
      </c>
      <c r="M4" s="511">
        <f t="shared" si="3"/>
        <v>0</v>
      </c>
      <c r="N4" s="511">
        <f t="shared" si="3"/>
        <v>0</v>
      </c>
      <c r="O4" s="511">
        <f t="shared" si="3"/>
        <v>0</v>
      </c>
      <c r="P4" s="511">
        <f t="shared" si="3"/>
        <v>0</v>
      </c>
      <c r="Q4" s="511">
        <f t="shared" si="3"/>
        <v>0</v>
      </c>
    </row>
    <row r="5" spans="1:17" s="415" customFormat="1" ht="15" hidden="1" customHeight="1">
      <c r="A5" s="509" t="s">
        <v>272</v>
      </c>
      <c r="B5" s="510" t="s">
        <v>273</v>
      </c>
      <c r="C5" s="511">
        <f>+C58</f>
        <v>0</v>
      </c>
      <c r="D5" s="511">
        <f t="shared" ref="D5:Q5" si="4">+D58</f>
        <v>0</v>
      </c>
      <c r="E5" s="511">
        <f t="shared" si="4"/>
        <v>0</v>
      </c>
      <c r="F5" s="511">
        <f t="shared" si="4"/>
        <v>0</v>
      </c>
      <c r="G5" s="511">
        <f t="shared" si="4"/>
        <v>0</v>
      </c>
      <c r="H5" s="511">
        <f t="shared" si="4"/>
        <v>0</v>
      </c>
      <c r="I5" s="511">
        <f t="shared" si="4"/>
        <v>0</v>
      </c>
      <c r="J5" s="511">
        <f t="shared" si="4"/>
        <v>0</v>
      </c>
      <c r="K5" s="511">
        <f t="shared" si="4"/>
        <v>0</v>
      </c>
      <c r="L5" s="511">
        <f t="shared" si="4"/>
        <v>0</v>
      </c>
      <c r="M5" s="511">
        <f t="shared" si="4"/>
        <v>0</v>
      </c>
      <c r="N5" s="511">
        <f t="shared" si="4"/>
        <v>0</v>
      </c>
      <c r="O5" s="511">
        <f t="shared" si="4"/>
        <v>0</v>
      </c>
      <c r="P5" s="511">
        <f t="shared" si="4"/>
        <v>0</v>
      </c>
      <c r="Q5" s="512">
        <f t="shared" si="4"/>
        <v>0</v>
      </c>
    </row>
    <row r="6" spans="1:17" s="415" customFormat="1" ht="15" hidden="1" customHeight="1">
      <c r="A6" s="509" t="s">
        <v>274</v>
      </c>
      <c r="B6" s="510" t="s">
        <v>275</v>
      </c>
      <c r="C6" s="511">
        <f>+C61</f>
        <v>0</v>
      </c>
      <c r="D6" s="511">
        <f t="shared" ref="D6:Q6" si="5">+D61</f>
        <v>0</v>
      </c>
      <c r="E6" s="511">
        <f t="shared" si="5"/>
        <v>0</v>
      </c>
      <c r="F6" s="511">
        <f t="shared" si="5"/>
        <v>0</v>
      </c>
      <c r="G6" s="511">
        <f t="shared" si="5"/>
        <v>0</v>
      </c>
      <c r="H6" s="511">
        <f t="shared" si="5"/>
        <v>0</v>
      </c>
      <c r="I6" s="511">
        <f t="shared" si="5"/>
        <v>0</v>
      </c>
      <c r="J6" s="511">
        <f t="shared" si="5"/>
        <v>0</v>
      </c>
      <c r="K6" s="511">
        <f t="shared" si="5"/>
        <v>0</v>
      </c>
      <c r="L6" s="511">
        <f t="shared" si="5"/>
        <v>0</v>
      </c>
      <c r="M6" s="511">
        <f t="shared" si="5"/>
        <v>0</v>
      </c>
      <c r="N6" s="511">
        <f t="shared" si="5"/>
        <v>0</v>
      </c>
      <c r="O6" s="511">
        <f t="shared" si="5"/>
        <v>0</v>
      </c>
      <c r="P6" s="511">
        <f t="shared" si="5"/>
        <v>0</v>
      </c>
      <c r="Q6" s="512">
        <f t="shared" si="5"/>
        <v>0</v>
      </c>
    </row>
    <row r="7" spans="1:17" s="415" customFormat="1" ht="15" hidden="1" customHeight="1">
      <c r="A7" s="509" t="s">
        <v>276</v>
      </c>
      <c r="B7" s="510" t="s">
        <v>277</v>
      </c>
      <c r="C7" s="511">
        <f>+C64</f>
        <v>0</v>
      </c>
      <c r="D7" s="511">
        <f t="shared" ref="D7:Q7" si="6">+D64</f>
        <v>0</v>
      </c>
      <c r="E7" s="511">
        <f t="shared" si="6"/>
        <v>0</v>
      </c>
      <c r="F7" s="511">
        <f t="shared" si="6"/>
        <v>0</v>
      </c>
      <c r="G7" s="511">
        <f t="shared" si="6"/>
        <v>0</v>
      </c>
      <c r="H7" s="511">
        <f t="shared" si="6"/>
        <v>0</v>
      </c>
      <c r="I7" s="511">
        <f t="shared" si="6"/>
        <v>0</v>
      </c>
      <c r="J7" s="511">
        <f t="shared" si="6"/>
        <v>0</v>
      </c>
      <c r="K7" s="511">
        <f t="shared" si="6"/>
        <v>0</v>
      </c>
      <c r="L7" s="511">
        <f t="shared" si="6"/>
        <v>0</v>
      </c>
      <c r="M7" s="511">
        <f t="shared" si="6"/>
        <v>0</v>
      </c>
      <c r="N7" s="511">
        <f t="shared" si="6"/>
        <v>0</v>
      </c>
      <c r="O7" s="511">
        <f t="shared" si="6"/>
        <v>0</v>
      </c>
      <c r="P7" s="511">
        <f t="shared" si="6"/>
        <v>0</v>
      </c>
      <c r="Q7" s="512">
        <f t="shared" si="6"/>
        <v>0</v>
      </c>
    </row>
    <row r="8" spans="1:17" s="415" customFormat="1" ht="15" hidden="1" customHeight="1">
      <c r="A8" s="509" t="s">
        <v>278</v>
      </c>
      <c r="B8" s="510" t="s">
        <v>279</v>
      </c>
      <c r="C8" s="511">
        <f>+C67</f>
        <v>0</v>
      </c>
      <c r="D8" s="511">
        <f t="shared" ref="D8:Q8" si="7">+D67</f>
        <v>0</v>
      </c>
      <c r="E8" s="511">
        <f t="shared" si="7"/>
        <v>0</v>
      </c>
      <c r="F8" s="511">
        <f t="shared" si="7"/>
        <v>0</v>
      </c>
      <c r="G8" s="511">
        <f t="shared" si="7"/>
        <v>0</v>
      </c>
      <c r="H8" s="511">
        <f t="shared" si="7"/>
        <v>0</v>
      </c>
      <c r="I8" s="511">
        <f t="shared" si="7"/>
        <v>0</v>
      </c>
      <c r="J8" s="511">
        <f t="shared" si="7"/>
        <v>0</v>
      </c>
      <c r="K8" s="511">
        <f t="shared" si="7"/>
        <v>0</v>
      </c>
      <c r="L8" s="511">
        <f t="shared" si="7"/>
        <v>0</v>
      </c>
      <c r="M8" s="511">
        <f t="shared" si="7"/>
        <v>0</v>
      </c>
      <c r="N8" s="511">
        <f t="shared" si="7"/>
        <v>0</v>
      </c>
      <c r="O8" s="511">
        <f t="shared" si="7"/>
        <v>0</v>
      </c>
      <c r="P8" s="511">
        <f t="shared" si="7"/>
        <v>0</v>
      </c>
      <c r="Q8" s="512">
        <f t="shared" si="7"/>
        <v>0</v>
      </c>
    </row>
    <row r="9" spans="1:17" s="415" customFormat="1" ht="15" hidden="1" customHeight="1">
      <c r="A9" s="509" t="s">
        <v>280</v>
      </c>
      <c r="B9" s="510" t="s">
        <v>281</v>
      </c>
      <c r="C9" s="511">
        <f>+C70</f>
        <v>0</v>
      </c>
      <c r="D9" s="511">
        <f t="shared" ref="D9:Q9" si="8">+D70</f>
        <v>0</v>
      </c>
      <c r="E9" s="511">
        <f t="shared" si="8"/>
        <v>0</v>
      </c>
      <c r="F9" s="511">
        <f t="shared" si="8"/>
        <v>0</v>
      </c>
      <c r="G9" s="511">
        <f t="shared" si="8"/>
        <v>0</v>
      </c>
      <c r="H9" s="511">
        <f t="shared" si="8"/>
        <v>0</v>
      </c>
      <c r="I9" s="511">
        <f t="shared" si="8"/>
        <v>0</v>
      </c>
      <c r="J9" s="511">
        <f t="shared" si="8"/>
        <v>0</v>
      </c>
      <c r="K9" s="511">
        <f t="shared" si="8"/>
        <v>0</v>
      </c>
      <c r="L9" s="511">
        <f t="shared" si="8"/>
        <v>0</v>
      </c>
      <c r="M9" s="511">
        <f t="shared" si="8"/>
        <v>0</v>
      </c>
      <c r="N9" s="511">
        <f t="shared" si="8"/>
        <v>0</v>
      </c>
      <c r="O9" s="511">
        <f t="shared" si="8"/>
        <v>0</v>
      </c>
      <c r="P9" s="511">
        <f t="shared" si="8"/>
        <v>0</v>
      </c>
      <c r="Q9" s="512">
        <f t="shared" si="8"/>
        <v>0</v>
      </c>
    </row>
    <row r="10" spans="1:17" s="415" customFormat="1" ht="15" hidden="1" customHeight="1">
      <c r="A10" s="509" t="s">
        <v>282</v>
      </c>
      <c r="B10" s="510" t="s">
        <v>283</v>
      </c>
      <c r="C10" s="511">
        <f>+C73</f>
        <v>0</v>
      </c>
      <c r="D10" s="511">
        <f t="shared" ref="D10:Q10" si="9">+D73</f>
        <v>0</v>
      </c>
      <c r="E10" s="511">
        <f t="shared" si="9"/>
        <v>0</v>
      </c>
      <c r="F10" s="511">
        <f t="shared" si="9"/>
        <v>0</v>
      </c>
      <c r="G10" s="511">
        <f t="shared" si="9"/>
        <v>0</v>
      </c>
      <c r="H10" s="511">
        <f t="shared" si="9"/>
        <v>0</v>
      </c>
      <c r="I10" s="511">
        <f t="shared" si="9"/>
        <v>0</v>
      </c>
      <c r="J10" s="511">
        <f t="shared" si="9"/>
        <v>0</v>
      </c>
      <c r="K10" s="511">
        <f t="shared" si="9"/>
        <v>0</v>
      </c>
      <c r="L10" s="511">
        <f t="shared" si="9"/>
        <v>0</v>
      </c>
      <c r="M10" s="511">
        <f t="shared" si="9"/>
        <v>0</v>
      </c>
      <c r="N10" s="511">
        <f t="shared" si="9"/>
        <v>0</v>
      </c>
      <c r="O10" s="511">
        <f t="shared" si="9"/>
        <v>0</v>
      </c>
      <c r="P10" s="511">
        <f t="shared" si="9"/>
        <v>0</v>
      </c>
      <c r="Q10" s="512">
        <f t="shared" si="9"/>
        <v>0</v>
      </c>
    </row>
    <row r="11" spans="1:17" s="415" customFormat="1" ht="15" hidden="1" customHeight="1">
      <c r="A11" s="504" t="s">
        <v>284</v>
      </c>
      <c r="B11" s="510" t="s">
        <v>285</v>
      </c>
      <c r="C11" s="511">
        <f>+C76</f>
        <v>0</v>
      </c>
      <c r="D11" s="511">
        <f t="shared" ref="D11:Q11" si="10">+D76</f>
        <v>0</v>
      </c>
      <c r="E11" s="511">
        <f t="shared" si="10"/>
        <v>0</v>
      </c>
      <c r="F11" s="511">
        <f t="shared" si="10"/>
        <v>0</v>
      </c>
      <c r="G11" s="511">
        <f t="shared" si="10"/>
        <v>0</v>
      </c>
      <c r="H11" s="511">
        <f t="shared" si="10"/>
        <v>0</v>
      </c>
      <c r="I11" s="511">
        <f t="shared" si="10"/>
        <v>0</v>
      </c>
      <c r="J11" s="511">
        <f t="shared" si="10"/>
        <v>0</v>
      </c>
      <c r="K11" s="511">
        <f t="shared" si="10"/>
        <v>0</v>
      </c>
      <c r="L11" s="511">
        <f t="shared" si="10"/>
        <v>0</v>
      </c>
      <c r="M11" s="511">
        <f t="shared" si="10"/>
        <v>0</v>
      </c>
      <c r="N11" s="511">
        <f t="shared" si="10"/>
        <v>0</v>
      </c>
      <c r="O11" s="511">
        <f t="shared" si="10"/>
        <v>0</v>
      </c>
      <c r="P11" s="511">
        <f t="shared" si="10"/>
        <v>0</v>
      </c>
      <c r="Q11" s="512">
        <f t="shared" si="10"/>
        <v>0</v>
      </c>
    </row>
    <row r="12" spans="1:17" s="415" customFormat="1" ht="15" hidden="1" customHeight="1">
      <c r="A12" s="504" t="s">
        <v>286</v>
      </c>
      <c r="B12" s="510" t="s">
        <v>287</v>
      </c>
      <c r="C12" s="511">
        <f>+C79</f>
        <v>0</v>
      </c>
      <c r="D12" s="511">
        <f t="shared" ref="D12:Q12" si="11">+D79</f>
        <v>0</v>
      </c>
      <c r="E12" s="511">
        <f t="shared" si="11"/>
        <v>0</v>
      </c>
      <c r="F12" s="511">
        <f t="shared" si="11"/>
        <v>0</v>
      </c>
      <c r="G12" s="511">
        <f t="shared" si="11"/>
        <v>0</v>
      </c>
      <c r="H12" s="511">
        <f t="shared" si="11"/>
        <v>0</v>
      </c>
      <c r="I12" s="511">
        <f t="shared" si="11"/>
        <v>0</v>
      </c>
      <c r="J12" s="511">
        <f t="shared" si="11"/>
        <v>0</v>
      </c>
      <c r="K12" s="511">
        <f t="shared" si="11"/>
        <v>0</v>
      </c>
      <c r="L12" s="511">
        <f t="shared" si="11"/>
        <v>0</v>
      </c>
      <c r="M12" s="511">
        <f t="shared" si="11"/>
        <v>0</v>
      </c>
      <c r="N12" s="511">
        <f t="shared" si="11"/>
        <v>0</v>
      </c>
      <c r="O12" s="511">
        <f t="shared" si="11"/>
        <v>0</v>
      </c>
      <c r="P12" s="511">
        <f t="shared" si="11"/>
        <v>0</v>
      </c>
      <c r="Q12" s="512">
        <f t="shared" si="11"/>
        <v>0</v>
      </c>
    </row>
    <row r="13" spans="1:17" s="415" customFormat="1" ht="15" hidden="1" customHeight="1">
      <c r="A13" s="504" t="s">
        <v>288</v>
      </c>
      <c r="B13" s="510" t="s">
        <v>289</v>
      </c>
      <c r="C13" s="511">
        <f>+C82</f>
        <v>0</v>
      </c>
      <c r="D13" s="511">
        <f t="shared" ref="D13:Q13" si="12">+D82</f>
        <v>0</v>
      </c>
      <c r="E13" s="511">
        <f t="shared" si="12"/>
        <v>0</v>
      </c>
      <c r="F13" s="511">
        <f t="shared" si="12"/>
        <v>0</v>
      </c>
      <c r="G13" s="511">
        <f t="shared" si="12"/>
        <v>0</v>
      </c>
      <c r="H13" s="511">
        <f t="shared" si="12"/>
        <v>0</v>
      </c>
      <c r="I13" s="511">
        <f t="shared" si="12"/>
        <v>0</v>
      </c>
      <c r="J13" s="511">
        <f t="shared" si="12"/>
        <v>0</v>
      </c>
      <c r="K13" s="511">
        <f t="shared" si="12"/>
        <v>0</v>
      </c>
      <c r="L13" s="511">
        <f t="shared" si="12"/>
        <v>0</v>
      </c>
      <c r="M13" s="511">
        <f t="shared" si="12"/>
        <v>0</v>
      </c>
      <c r="N13" s="511">
        <f t="shared" si="12"/>
        <v>0</v>
      </c>
      <c r="O13" s="511">
        <f t="shared" si="12"/>
        <v>0</v>
      </c>
      <c r="P13" s="511">
        <f t="shared" si="12"/>
        <v>0</v>
      </c>
      <c r="Q13" s="512">
        <f t="shared" si="12"/>
        <v>0</v>
      </c>
    </row>
    <row r="14" spans="1:17" s="415" customFormat="1" ht="15" hidden="1" customHeight="1">
      <c r="A14" s="504" t="s">
        <v>290</v>
      </c>
      <c r="B14" s="513" t="s">
        <v>291</v>
      </c>
      <c r="C14" s="514">
        <f>+SUM(C15:C22)</f>
        <v>0</v>
      </c>
      <c r="D14" s="514">
        <f t="shared" ref="D14:Q14" si="13">+SUM(D15:D22)</f>
        <v>0</v>
      </c>
      <c r="E14" s="514">
        <f t="shared" si="13"/>
        <v>0</v>
      </c>
      <c r="F14" s="514">
        <f t="shared" si="13"/>
        <v>0</v>
      </c>
      <c r="G14" s="514">
        <f t="shared" si="13"/>
        <v>0</v>
      </c>
      <c r="H14" s="514">
        <f t="shared" si="13"/>
        <v>0</v>
      </c>
      <c r="I14" s="514">
        <f t="shared" si="13"/>
        <v>0</v>
      </c>
      <c r="J14" s="514">
        <f t="shared" si="13"/>
        <v>0</v>
      </c>
      <c r="K14" s="514">
        <f t="shared" si="13"/>
        <v>0</v>
      </c>
      <c r="L14" s="514">
        <f t="shared" si="13"/>
        <v>0</v>
      </c>
      <c r="M14" s="514">
        <f t="shared" si="13"/>
        <v>0</v>
      </c>
      <c r="N14" s="514">
        <f t="shared" si="13"/>
        <v>0</v>
      </c>
      <c r="O14" s="514">
        <f t="shared" si="13"/>
        <v>0</v>
      </c>
      <c r="P14" s="514">
        <f t="shared" si="13"/>
        <v>0</v>
      </c>
      <c r="Q14" s="515">
        <f t="shared" si="13"/>
        <v>0</v>
      </c>
    </row>
    <row r="15" spans="1:17" s="415" customFormat="1" ht="15" hidden="1" customHeight="1">
      <c r="A15" s="504" t="s">
        <v>292</v>
      </c>
      <c r="B15" s="510" t="s">
        <v>293</v>
      </c>
      <c r="C15" s="511">
        <f>+C86</f>
        <v>0</v>
      </c>
      <c r="D15" s="511">
        <f t="shared" ref="D15:Q15" si="14">+D86</f>
        <v>0</v>
      </c>
      <c r="E15" s="511">
        <f t="shared" si="14"/>
        <v>0</v>
      </c>
      <c r="F15" s="511">
        <f t="shared" si="14"/>
        <v>0</v>
      </c>
      <c r="G15" s="511">
        <f t="shared" si="14"/>
        <v>0</v>
      </c>
      <c r="H15" s="511">
        <f t="shared" si="14"/>
        <v>0</v>
      </c>
      <c r="I15" s="511">
        <f t="shared" si="14"/>
        <v>0</v>
      </c>
      <c r="J15" s="511">
        <f t="shared" si="14"/>
        <v>0</v>
      </c>
      <c r="K15" s="511">
        <f t="shared" si="14"/>
        <v>0</v>
      </c>
      <c r="L15" s="511">
        <f t="shared" si="14"/>
        <v>0</v>
      </c>
      <c r="M15" s="511">
        <f t="shared" si="14"/>
        <v>0</v>
      </c>
      <c r="N15" s="511">
        <f t="shared" si="14"/>
        <v>0</v>
      </c>
      <c r="O15" s="511">
        <f t="shared" si="14"/>
        <v>0</v>
      </c>
      <c r="P15" s="511">
        <f t="shared" si="14"/>
        <v>0</v>
      </c>
      <c r="Q15" s="511">
        <f t="shared" si="14"/>
        <v>0</v>
      </c>
    </row>
    <row r="16" spans="1:17" s="415" customFormat="1" ht="15" hidden="1" customHeight="1">
      <c r="A16" s="504" t="s">
        <v>294</v>
      </c>
      <c r="B16" s="510" t="s">
        <v>295</v>
      </c>
      <c r="C16" s="511">
        <f t="shared" ref="C16:Q21" si="15">+C87</f>
        <v>0</v>
      </c>
      <c r="D16" s="511">
        <f t="shared" si="15"/>
        <v>0</v>
      </c>
      <c r="E16" s="511">
        <f t="shared" si="15"/>
        <v>0</v>
      </c>
      <c r="F16" s="511">
        <f t="shared" si="15"/>
        <v>0</v>
      </c>
      <c r="G16" s="511">
        <f t="shared" si="15"/>
        <v>0</v>
      </c>
      <c r="H16" s="511">
        <f t="shared" si="15"/>
        <v>0</v>
      </c>
      <c r="I16" s="689">
        <f t="shared" si="15"/>
        <v>0</v>
      </c>
      <c r="J16" s="511">
        <f t="shared" si="15"/>
        <v>0</v>
      </c>
      <c r="K16" s="511">
        <f t="shared" si="15"/>
        <v>0</v>
      </c>
      <c r="L16" s="511">
        <f t="shared" si="15"/>
        <v>0</v>
      </c>
      <c r="M16" s="511">
        <f t="shared" si="15"/>
        <v>0</v>
      </c>
      <c r="N16" s="511">
        <f t="shared" si="15"/>
        <v>0</v>
      </c>
      <c r="O16" s="511">
        <f t="shared" si="15"/>
        <v>0</v>
      </c>
      <c r="P16" s="511">
        <f t="shared" si="15"/>
        <v>0</v>
      </c>
      <c r="Q16" s="512">
        <f t="shared" si="15"/>
        <v>0</v>
      </c>
    </row>
    <row r="17" spans="1:17" s="415" customFormat="1" ht="15" hidden="1" customHeight="1">
      <c r="A17" s="504" t="s">
        <v>296</v>
      </c>
      <c r="B17" s="510" t="s">
        <v>297</v>
      </c>
      <c r="C17" s="511">
        <f t="shared" si="15"/>
        <v>0</v>
      </c>
      <c r="D17" s="511">
        <f t="shared" si="15"/>
        <v>0</v>
      </c>
      <c r="E17" s="511">
        <f t="shared" si="15"/>
        <v>0</v>
      </c>
      <c r="F17" s="511">
        <f t="shared" si="15"/>
        <v>0</v>
      </c>
      <c r="G17" s="511">
        <f t="shared" si="15"/>
        <v>0</v>
      </c>
      <c r="H17" s="511">
        <f t="shared" si="15"/>
        <v>0</v>
      </c>
      <c r="I17" s="511">
        <f t="shared" si="15"/>
        <v>0</v>
      </c>
      <c r="J17" s="511">
        <f t="shared" si="15"/>
        <v>0</v>
      </c>
      <c r="K17" s="511">
        <f t="shared" si="15"/>
        <v>0</v>
      </c>
      <c r="L17" s="511">
        <f t="shared" si="15"/>
        <v>0</v>
      </c>
      <c r="M17" s="511">
        <f t="shared" si="15"/>
        <v>0</v>
      </c>
      <c r="N17" s="511">
        <f t="shared" si="15"/>
        <v>0</v>
      </c>
      <c r="O17" s="511">
        <f t="shared" si="15"/>
        <v>0</v>
      </c>
      <c r="P17" s="511">
        <f t="shared" si="15"/>
        <v>0</v>
      </c>
      <c r="Q17" s="512">
        <f t="shared" si="15"/>
        <v>0</v>
      </c>
    </row>
    <row r="18" spans="1:17" s="415" customFormat="1" ht="15" hidden="1" customHeight="1">
      <c r="A18" s="504" t="s">
        <v>298</v>
      </c>
      <c r="B18" s="510" t="s">
        <v>299</v>
      </c>
      <c r="C18" s="511">
        <f t="shared" si="15"/>
        <v>0</v>
      </c>
      <c r="D18" s="511">
        <f t="shared" si="15"/>
        <v>0</v>
      </c>
      <c r="E18" s="511">
        <f t="shared" si="15"/>
        <v>0</v>
      </c>
      <c r="F18" s="511">
        <f t="shared" si="15"/>
        <v>0</v>
      </c>
      <c r="G18" s="511">
        <f t="shared" si="15"/>
        <v>0</v>
      </c>
      <c r="H18" s="511">
        <f t="shared" si="15"/>
        <v>0</v>
      </c>
      <c r="I18" s="511">
        <f t="shared" si="15"/>
        <v>0</v>
      </c>
      <c r="J18" s="511">
        <f t="shared" si="15"/>
        <v>0</v>
      </c>
      <c r="K18" s="511">
        <f t="shared" si="15"/>
        <v>0</v>
      </c>
      <c r="L18" s="511">
        <f t="shared" si="15"/>
        <v>0</v>
      </c>
      <c r="M18" s="511">
        <f t="shared" si="15"/>
        <v>0</v>
      </c>
      <c r="N18" s="511">
        <f t="shared" si="15"/>
        <v>0</v>
      </c>
      <c r="O18" s="511">
        <f t="shared" si="15"/>
        <v>0</v>
      </c>
      <c r="P18" s="511">
        <f t="shared" si="15"/>
        <v>0</v>
      </c>
      <c r="Q18" s="512">
        <f t="shared" si="15"/>
        <v>0</v>
      </c>
    </row>
    <row r="19" spans="1:17" s="415" customFormat="1" ht="15" hidden="1" customHeight="1">
      <c r="A19" s="504" t="s">
        <v>300</v>
      </c>
      <c r="B19" s="516" t="s">
        <v>301</v>
      </c>
      <c r="C19" s="511">
        <f t="shared" si="15"/>
        <v>0</v>
      </c>
      <c r="D19" s="517">
        <f t="shared" si="15"/>
        <v>0</v>
      </c>
      <c r="E19" s="517">
        <f t="shared" si="15"/>
        <v>0</v>
      </c>
      <c r="F19" s="517">
        <f t="shared" si="15"/>
        <v>0</v>
      </c>
      <c r="G19" s="517">
        <f t="shared" si="15"/>
        <v>0</v>
      </c>
      <c r="H19" s="517">
        <f t="shared" si="15"/>
        <v>0</v>
      </c>
      <c r="I19" s="517">
        <f t="shared" si="15"/>
        <v>0</v>
      </c>
      <c r="J19" s="517">
        <f t="shared" si="15"/>
        <v>0</v>
      </c>
      <c r="K19" s="517">
        <f t="shared" si="15"/>
        <v>0</v>
      </c>
      <c r="L19" s="517">
        <f t="shared" si="15"/>
        <v>0</v>
      </c>
      <c r="M19" s="517">
        <f t="shared" si="15"/>
        <v>0</v>
      </c>
      <c r="N19" s="517">
        <f t="shared" si="15"/>
        <v>0</v>
      </c>
      <c r="O19" s="517">
        <f t="shared" si="15"/>
        <v>0</v>
      </c>
      <c r="P19" s="517">
        <f t="shared" si="15"/>
        <v>0</v>
      </c>
      <c r="Q19" s="518">
        <f t="shared" si="15"/>
        <v>0</v>
      </c>
    </row>
    <row r="20" spans="1:17" s="415" customFormat="1" ht="15" hidden="1" customHeight="1">
      <c r="A20" s="504" t="s">
        <v>302</v>
      </c>
      <c r="B20" s="510" t="s">
        <v>285</v>
      </c>
      <c r="C20" s="511">
        <f t="shared" si="15"/>
        <v>0</v>
      </c>
      <c r="D20" s="517">
        <f t="shared" si="15"/>
        <v>0</v>
      </c>
      <c r="E20" s="517">
        <f t="shared" si="15"/>
        <v>0</v>
      </c>
      <c r="F20" s="517">
        <f t="shared" si="15"/>
        <v>0</v>
      </c>
      <c r="G20" s="517">
        <f t="shared" si="15"/>
        <v>0</v>
      </c>
      <c r="H20" s="517">
        <f t="shared" si="15"/>
        <v>0</v>
      </c>
      <c r="I20" s="517">
        <f t="shared" si="15"/>
        <v>0</v>
      </c>
      <c r="J20" s="517">
        <f t="shared" si="15"/>
        <v>0</v>
      </c>
      <c r="K20" s="517">
        <f t="shared" si="15"/>
        <v>0</v>
      </c>
      <c r="L20" s="517">
        <f t="shared" si="15"/>
        <v>0</v>
      </c>
      <c r="M20" s="517">
        <f t="shared" si="15"/>
        <v>0</v>
      </c>
      <c r="N20" s="517">
        <f t="shared" si="15"/>
        <v>0</v>
      </c>
      <c r="O20" s="517">
        <f t="shared" si="15"/>
        <v>0</v>
      </c>
      <c r="P20" s="517">
        <f t="shared" si="15"/>
        <v>0</v>
      </c>
      <c r="Q20" s="518">
        <f t="shared" si="15"/>
        <v>0</v>
      </c>
    </row>
    <row r="21" spans="1:17" s="415" customFormat="1" ht="15" hidden="1" customHeight="1">
      <c r="A21" s="504" t="s">
        <v>303</v>
      </c>
      <c r="B21" s="510" t="s">
        <v>287</v>
      </c>
      <c r="C21" s="511">
        <f t="shared" si="15"/>
        <v>0</v>
      </c>
      <c r="D21" s="517">
        <f t="shared" si="15"/>
        <v>0</v>
      </c>
      <c r="E21" s="517">
        <f t="shared" si="15"/>
        <v>0</v>
      </c>
      <c r="F21" s="517">
        <f t="shared" si="15"/>
        <v>0</v>
      </c>
      <c r="G21" s="517">
        <f t="shared" si="15"/>
        <v>0</v>
      </c>
      <c r="H21" s="517">
        <f t="shared" si="15"/>
        <v>0</v>
      </c>
      <c r="I21" s="517">
        <f t="shared" si="15"/>
        <v>0</v>
      </c>
      <c r="J21" s="517">
        <f t="shared" si="15"/>
        <v>0</v>
      </c>
      <c r="K21" s="517">
        <f t="shared" si="15"/>
        <v>0</v>
      </c>
      <c r="L21" s="517">
        <f t="shared" si="15"/>
        <v>0</v>
      </c>
      <c r="M21" s="517">
        <f t="shared" si="15"/>
        <v>0</v>
      </c>
      <c r="N21" s="517">
        <f t="shared" si="15"/>
        <v>0</v>
      </c>
      <c r="O21" s="517">
        <f t="shared" si="15"/>
        <v>0</v>
      </c>
      <c r="P21" s="517">
        <f t="shared" si="15"/>
        <v>0</v>
      </c>
      <c r="Q21" s="518">
        <f t="shared" si="15"/>
        <v>0</v>
      </c>
    </row>
    <row r="22" spans="1:17" s="415" customFormat="1" ht="15" hidden="1" customHeight="1" thickBot="1">
      <c r="A22" s="504" t="s">
        <v>304</v>
      </c>
      <c r="B22" s="519" t="s">
        <v>289</v>
      </c>
      <c r="C22" s="520">
        <f>+C93</f>
        <v>0</v>
      </c>
      <c r="D22" s="520">
        <f t="shared" ref="D22:Q22" si="16">+D93</f>
        <v>0</v>
      </c>
      <c r="E22" s="520">
        <f t="shared" si="16"/>
        <v>0</v>
      </c>
      <c r="F22" s="520">
        <f t="shared" si="16"/>
        <v>0</v>
      </c>
      <c r="G22" s="520">
        <f t="shared" si="16"/>
        <v>0</v>
      </c>
      <c r="H22" s="520">
        <f t="shared" si="16"/>
        <v>0</v>
      </c>
      <c r="I22" s="520">
        <f t="shared" si="16"/>
        <v>0</v>
      </c>
      <c r="J22" s="520">
        <f t="shared" si="16"/>
        <v>0</v>
      </c>
      <c r="K22" s="520">
        <f t="shared" si="16"/>
        <v>0</v>
      </c>
      <c r="L22" s="520">
        <f t="shared" si="16"/>
        <v>0</v>
      </c>
      <c r="M22" s="520">
        <f t="shared" si="16"/>
        <v>0</v>
      </c>
      <c r="N22" s="520">
        <f t="shared" si="16"/>
        <v>0</v>
      </c>
      <c r="O22" s="520">
        <f t="shared" si="16"/>
        <v>0</v>
      </c>
      <c r="P22" s="520">
        <f t="shared" si="16"/>
        <v>0</v>
      </c>
      <c r="Q22" s="521">
        <f t="shared" si="16"/>
        <v>0</v>
      </c>
    </row>
    <row r="23" spans="1:17" hidden="1"/>
    <row r="24" spans="1:17" ht="15" customHeight="1" thickBot="1"/>
    <row r="25" spans="1:17" ht="51">
      <c r="B25" s="500" t="s">
        <v>32</v>
      </c>
      <c r="C25" s="501" t="str">
        <f>+Gastos!E22</f>
        <v>Presupuesto Inicial</v>
      </c>
      <c r="D25" s="501" t="str">
        <f>+'Fuentes y Usos Seguimiento'!D25</f>
        <v>Presupuesto Definitivo    (2)</v>
      </c>
      <c r="E25" s="501" t="str">
        <f>+Gastos!I22</f>
        <v>Compromisos del mes</v>
      </c>
      <c r="F25" s="501" t="str">
        <f>+Gastos!J22</f>
        <v>Compromisos Acumulados al mes</v>
      </c>
      <c r="G25" s="501" t="str">
        <f>+Gastos!J22</f>
        <v>Compromisos Acumulados al mes</v>
      </c>
      <c r="H25" s="501" t="str">
        <f>+Gastos!K22</f>
        <v>Pagos Acumulados al mes</v>
      </c>
      <c r="I25" s="501" t="str">
        <f>+Gastos!K22</f>
        <v>Pagos Acumulados al mes</v>
      </c>
      <c r="J25"/>
      <c r="K25"/>
      <c r="L25"/>
      <c r="M25"/>
      <c r="N25"/>
      <c r="O25"/>
      <c r="P25"/>
      <c r="Q25"/>
    </row>
    <row r="26" spans="1:17" ht="66" customHeight="1" thickBot="1">
      <c r="B26" s="942" t="s">
        <v>305</v>
      </c>
      <c r="C26" s="503"/>
      <c r="D26" s="697"/>
      <c r="E26" s="697"/>
      <c r="F26" s="697" t="str">
        <f>+Gastos!C72</f>
        <v xml:space="preserve"> DÉFICIT FISCAL VIGENCIAS 2.001 Y SIGUIENTES</v>
      </c>
      <c r="G26" s="697" t="str">
        <f>+Gastos!C73</f>
        <v xml:space="preserve"> DEFICIT FISCAL VIGENCIA 2.000 Y ANTERIORES</v>
      </c>
      <c r="H26" s="697" t="str">
        <f>+Gastos!C72</f>
        <v xml:space="preserve"> DÉFICIT FISCAL VIGENCIAS 2.001 Y SIGUIENTES</v>
      </c>
      <c r="I26" s="697" t="str">
        <f>+Gastos!C73</f>
        <v xml:space="preserve"> DEFICIT FISCAL VIGENCIA 2.000 Y ANTERIORES</v>
      </c>
      <c r="J26"/>
      <c r="K26"/>
      <c r="L26"/>
      <c r="M26"/>
      <c r="N26"/>
      <c r="O26"/>
      <c r="P26"/>
      <c r="Q26"/>
    </row>
    <row r="27" spans="1:17" ht="25.5">
      <c r="A27" s="504" t="s">
        <v>268</v>
      </c>
      <c r="B27" s="941" t="s">
        <v>269</v>
      </c>
      <c r="C27" s="506">
        <f t="shared" ref="C27:I27" si="17">+SUM(C28:C37)</f>
        <v>0</v>
      </c>
      <c r="D27" s="507">
        <f t="shared" si="17"/>
        <v>0</v>
      </c>
      <c r="E27" s="507">
        <f t="shared" si="17"/>
        <v>0</v>
      </c>
      <c r="F27" s="507">
        <f t="shared" si="17"/>
        <v>0</v>
      </c>
      <c r="G27" s="507">
        <f t="shared" si="17"/>
        <v>0</v>
      </c>
      <c r="H27" s="507">
        <f t="shared" si="17"/>
        <v>0</v>
      </c>
      <c r="I27" s="507">
        <f t="shared" si="17"/>
        <v>0</v>
      </c>
      <c r="J27"/>
      <c r="K27"/>
      <c r="L27"/>
      <c r="M27"/>
      <c r="N27"/>
      <c r="O27"/>
      <c r="P27"/>
      <c r="Q27"/>
    </row>
    <row r="28" spans="1:17">
      <c r="A28" s="509" t="s">
        <v>270</v>
      </c>
      <c r="B28" s="510" t="s">
        <v>271</v>
      </c>
      <c r="C28" s="511"/>
      <c r="D28" s="511"/>
      <c r="E28" s="511"/>
      <c r="F28" s="511"/>
      <c r="G28" s="511"/>
      <c r="H28" s="511"/>
      <c r="I28" s="511"/>
      <c r="J28"/>
      <c r="K28"/>
      <c r="L28"/>
      <c r="M28"/>
      <c r="N28"/>
      <c r="O28"/>
      <c r="P28"/>
      <c r="Q28"/>
    </row>
    <row r="29" spans="1:17">
      <c r="A29" s="509" t="s">
        <v>272</v>
      </c>
      <c r="B29" s="510" t="s">
        <v>273</v>
      </c>
      <c r="C29" s="511"/>
      <c r="D29" s="511"/>
      <c r="E29" s="511"/>
      <c r="F29" s="511"/>
      <c r="G29" s="511"/>
      <c r="H29" s="511"/>
      <c r="I29" s="511"/>
      <c r="J29"/>
      <c r="K29"/>
      <c r="L29"/>
      <c r="M29"/>
      <c r="N29"/>
      <c r="O29"/>
      <c r="P29"/>
      <c r="Q29"/>
    </row>
    <row r="30" spans="1:17">
      <c r="A30" s="509" t="s">
        <v>274</v>
      </c>
      <c r="B30" s="510" t="s">
        <v>275</v>
      </c>
      <c r="C30" s="511"/>
      <c r="D30" s="511"/>
      <c r="E30" s="511"/>
      <c r="F30" s="511"/>
      <c r="G30" s="511"/>
      <c r="H30" s="511"/>
      <c r="I30" s="511"/>
      <c r="J30"/>
      <c r="K30"/>
      <c r="L30"/>
      <c r="M30"/>
      <c r="N30"/>
      <c r="O30"/>
      <c r="P30"/>
      <c r="Q30"/>
    </row>
    <row r="31" spans="1:17">
      <c r="A31" s="509" t="s">
        <v>276</v>
      </c>
      <c r="B31" s="510" t="s">
        <v>277</v>
      </c>
      <c r="C31" s="511"/>
      <c r="D31" s="511"/>
      <c r="E31" s="511"/>
      <c r="F31" s="511"/>
      <c r="G31" s="511"/>
      <c r="H31" s="511"/>
      <c r="I31" s="511"/>
      <c r="J31"/>
      <c r="K31"/>
      <c r="L31"/>
      <c r="M31"/>
      <c r="N31"/>
      <c r="O31"/>
      <c r="P31"/>
      <c r="Q31"/>
    </row>
    <row r="32" spans="1:17">
      <c r="A32" s="509" t="s">
        <v>278</v>
      </c>
      <c r="B32" s="510" t="s">
        <v>279</v>
      </c>
      <c r="C32" s="511"/>
      <c r="D32" s="511"/>
      <c r="E32" s="511"/>
      <c r="F32" s="511"/>
      <c r="G32" s="511"/>
      <c r="H32" s="511"/>
      <c r="I32" s="511"/>
      <c r="J32"/>
      <c r="K32"/>
      <c r="L32"/>
      <c r="M32"/>
      <c r="N32"/>
      <c r="O32"/>
      <c r="P32"/>
      <c r="Q32"/>
    </row>
    <row r="33" spans="1:17">
      <c r="A33" s="509" t="s">
        <v>280</v>
      </c>
      <c r="B33" s="510" t="s">
        <v>281</v>
      </c>
      <c r="C33" s="511"/>
      <c r="D33" s="511"/>
      <c r="E33" s="511"/>
      <c r="F33" s="511"/>
      <c r="G33" s="511"/>
      <c r="H33" s="511"/>
      <c r="I33" s="511"/>
      <c r="J33"/>
      <c r="K33"/>
      <c r="L33"/>
      <c r="M33"/>
      <c r="N33"/>
      <c r="O33"/>
      <c r="P33"/>
      <c r="Q33"/>
    </row>
    <row r="34" spans="1:17">
      <c r="A34" s="509" t="s">
        <v>282</v>
      </c>
      <c r="B34" s="510" t="s">
        <v>283</v>
      </c>
      <c r="C34" s="511"/>
      <c r="D34" s="511"/>
      <c r="E34" s="511"/>
      <c r="F34" s="511"/>
      <c r="G34" s="511"/>
      <c r="H34" s="511"/>
      <c r="I34" s="511"/>
      <c r="J34"/>
      <c r="K34"/>
      <c r="L34"/>
      <c r="M34"/>
      <c r="N34"/>
      <c r="O34"/>
      <c r="P34"/>
      <c r="Q34"/>
    </row>
    <row r="35" spans="1:17">
      <c r="A35" s="504" t="s">
        <v>284</v>
      </c>
      <c r="B35" s="510" t="s">
        <v>285</v>
      </c>
      <c r="C35" s="511"/>
      <c r="D35" s="511"/>
      <c r="E35" s="511"/>
      <c r="F35" s="511"/>
      <c r="G35" s="511"/>
      <c r="H35" s="511"/>
      <c r="I35" s="511"/>
      <c r="J35"/>
      <c r="K35"/>
      <c r="L35"/>
      <c r="M35"/>
      <c r="N35"/>
      <c r="O35"/>
      <c r="P35"/>
      <c r="Q35"/>
    </row>
    <row r="36" spans="1:17">
      <c r="A36" s="504" t="s">
        <v>286</v>
      </c>
      <c r="B36" s="510" t="s">
        <v>287</v>
      </c>
      <c r="C36" s="511"/>
      <c r="D36" s="511"/>
      <c r="E36" s="511"/>
      <c r="F36" s="511"/>
      <c r="G36" s="511"/>
      <c r="H36" s="511"/>
      <c r="I36" s="511"/>
      <c r="J36"/>
      <c r="K36"/>
      <c r="L36"/>
      <c r="M36"/>
      <c r="N36"/>
      <c r="O36"/>
      <c r="P36"/>
      <c r="Q36"/>
    </row>
    <row r="37" spans="1:17">
      <c r="A37" s="504" t="s">
        <v>288</v>
      </c>
      <c r="B37" s="510" t="s">
        <v>289</v>
      </c>
      <c r="C37" s="511"/>
      <c r="D37" s="511"/>
      <c r="E37" s="511"/>
      <c r="F37" s="511"/>
      <c r="G37" s="511"/>
      <c r="H37" s="511"/>
      <c r="I37" s="511"/>
      <c r="J37"/>
      <c r="K37"/>
      <c r="L37"/>
      <c r="M37"/>
      <c r="N37"/>
      <c r="O37"/>
      <c r="P37"/>
      <c r="Q37"/>
    </row>
    <row r="38" spans="1:17">
      <c r="A38" s="504" t="s">
        <v>290</v>
      </c>
      <c r="B38" s="513" t="s">
        <v>291</v>
      </c>
      <c r="C38" s="514">
        <f t="shared" ref="C38:I38" si="18">+SUM(C39:C46)</f>
        <v>0</v>
      </c>
      <c r="D38" s="514">
        <f t="shared" si="18"/>
        <v>0</v>
      </c>
      <c r="E38" s="514">
        <f t="shared" si="18"/>
        <v>0</v>
      </c>
      <c r="F38" s="514">
        <f t="shared" si="18"/>
        <v>0</v>
      </c>
      <c r="G38" s="514">
        <f t="shared" si="18"/>
        <v>0</v>
      </c>
      <c r="H38" s="514">
        <f t="shared" si="18"/>
        <v>0</v>
      </c>
      <c r="I38" s="514">
        <f t="shared" si="18"/>
        <v>0</v>
      </c>
      <c r="J38"/>
      <c r="K38"/>
      <c r="L38"/>
      <c r="M38"/>
      <c r="N38"/>
      <c r="O38"/>
      <c r="P38"/>
      <c r="Q38"/>
    </row>
    <row r="39" spans="1:17">
      <c r="A39" s="504" t="s">
        <v>292</v>
      </c>
      <c r="B39" s="510" t="s">
        <v>293</v>
      </c>
      <c r="C39" s="511"/>
      <c r="D39" s="511"/>
      <c r="E39" s="511"/>
      <c r="F39" s="511"/>
      <c r="G39" s="511"/>
      <c r="H39" s="511"/>
      <c r="I39" s="511"/>
      <c r="J39"/>
      <c r="K39"/>
      <c r="L39"/>
      <c r="M39"/>
      <c r="N39"/>
      <c r="O39"/>
      <c r="P39"/>
      <c r="Q39"/>
    </row>
    <row r="40" spans="1:17">
      <c r="A40" s="504" t="s">
        <v>294</v>
      </c>
      <c r="B40" s="510" t="s">
        <v>295</v>
      </c>
      <c r="C40" s="511"/>
      <c r="D40" s="511"/>
      <c r="E40" s="511"/>
      <c r="F40" s="511"/>
      <c r="G40" s="511"/>
      <c r="H40" s="511"/>
      <c r="I40" s="511"/>
      <c r="J40"/>
      <c r="K40"/>
      <c r="L40"/>
      <c r="M40"/>
      <c r="N40"/>
      <c r="O40"/>
      <c r="P40"/>
      <c r="Q40"/>
    </row>
    <row r="41" spans="1:17">
      <c r="A41" s="504" t="s">
        <v>296</v>
      </c>
      <c r="B41" s="510" t="s">
        <v>297</v>
      </c>
      <c r="C41" s="511"/>
      <c r="D41" s="511"/>
      <c r="E41" s="511"/>
      <c r="F41" s="511"/>
      <c r="G41" s="511"/>
      <c r="H41" s="511"/>
      <c r="I41" s="511"/>
      <c r="J41"/>
      <c r="K41"/>
      <c r="L41"/>
      <c r="M41"/>
      <c r="N41"/>
      <c r="O41"/>
      <c r="P41"/>
      <c r="Q41"/>
    </row>
    <row r="42" spans="1:17">
      <c r="A42" s="504" t="s">
        <v>298</v>
      </c>
      <c r="B42" s="510" t="s">
        <v>299</v>
      </c>
      <c r="C42" s="511"/>
      <c r="D42" s="511"/>
      <c r="E42" s="511"/>
      <c r="F42" s="511"/>
      <c r="G42" s="511"/>
      <c r="H42" s="511"/>
      <c r="I42" s="511"/>
      <c r="J42"/>
      <c r="K42"/>
      <c r="L42"/>
      <c r="M42"/>
      <c r="N42"/>
      <c r="O42"/>
      <c r="P42"/>
      <c r="Q42"/>
    </row>
    <row r="43" spans="1:17">
      <c r="A43" s="504" t="s">
        <v>300</v>
      </c>
      <c r="B43" s="516" t="s">
        <v>301</v>
      </c>
      <c r="C43" s="517"/>
      <c r="D43" s="517"/>
      <c r="E43" s="517"/>
      <c r="F43" s="517"/>
      <c r="G43" s="517"/>
      <c r="H43" s="517"/>
      <c r="I43" s="517"/>
      <c r="J43"/>
      <c r="K43"/>
      <c r="L43"/>
      <c r="M43"/>
      <c r="N43"/>
      <c r="O43"/>
      <c r="P43"/>
      <c r="Q43"/>
    </row>
    <row r="44" spans="1:17">
      <c r="A44" s="504" t="s">
        <v>302</v>
      </c>
      <c r="B44" s="510" t="s">
        <v>285</v>
      </c>
      <c r="C44" s="517"/>
      <c r="D44" s="517"/>
      <c r="E44" s="517"/>
      <c r="F44" s="517"/>
      <c r="G44" s="517"/>
      <c r="H44" s="517"/>
      <c r="I44" s="517"/>
      <c r="J44"/>
      <c r="K44"/>
      <c r="L44"/>
      <c r="M44"/>
      <c r="N44"/>
      <c r="O44"/>
      <c r="P44"/>
      <c r="Q44"/>
    </row>
    <row r="45" spans="1:17">
      <c r="A45" s="504" t="s">
        <v>303</v>
      </c>
      <c r="B45" s="510" t="s">
        <v>287</v>
      </c>
      <c r="C45" s="517"/>
      <c r="D45" s="517"/>
      <c r="E45" s="517"/>
      <c r="F45" s="517"/>
      <c r="G45" s="517"/>
      <c r="H45" s="517"/>
      <c r="I45" s="517"/>
      <c r="J45"/>
      <c r="K45"/>
      <c r="L45"/>
      <c r="M45"/>
      <c r="N45"/>
      <c r="O45"/>
      <c r="P45"/>
      <c r="Q45"/>
    </row>
    <row r="46" spans="1:17" ht="13.5" thickBot="1">
      <c r="A46" s="504" t="s">
        <v>304</v>
      </c>
      <c r="B46" s="519" t="s">
        <v>289</v>
      </c>
      <c r="C46" s="520"/>
      <c r="D46" s="520"/>
      <c r="E46" s="520"/>
      <c r="F46" s="520"/>
      <c r="G46" s="520"/>
      <c r="H46" s="520"/>
      <c r="I46" s="520"/>
      <c r="J46"/>
      <c r="K46"/>
      <c r="L46"/>
      <c r="M46"/>
      <c r="N46"/>
      <c r="O46"/>
      <c r="P46"/>
      <c r="Q46"/>
    </row>
    <row r="50" spans="1:17" ht="7.5" customHeight="1"/>
    <row r="51" spans="1:17" ht="7.5" customHeight="1" thickBot="1"/>
    <row r="52" spans="1:17" ht="38.25">
      <c r="B52" s="500" t="s">
        <v>306</v>
      </c>
      <c r="C52" s="501" t="str">
        <f>+'Ingresos Proyecciones'!C9</f>
        <v>Escenario Financiero Año 2002</v>
      </c>
      <c r="D52" s="501" t="str">
        <f>+'Ingresos Proyecciones'!D9</f>
        <v>Escenario Financiero Año 2003</v>
      </c>
      <c r="E52" s="501" t="str">
        <f>+'Ingresos Proyecciones'!E9</f>
        <v>Escenario Financiero Año 2004</v>
      </c>
      <c r="F52" s="501" t="str">
        <f>+'Ingresos Proyecciones'!F9</f>
        <v>Escenario Financiero Año 2005</v>
      </c>
      <c r="G52" s="501" t="str">
        <f>+'Ingresos Proyecciones'!G9</f>
        <v>Escenario Financiero Año 2006</v>
      </c>
      <c r="H52" s="501" t="str">
        <f>+'Ingresos Proyecciones'!H9</f>
        <v>Escenario Financiero Año 2007</v>
      </c>
      <c r="I52" s="501" t="str">
        <f>+'Ingresos Proyecciones'!I9</f>
        <v>Escenario Financiero Año 2008</v>
      </c>
      <c r="J52" s="501" t="str">
        <f>+'Ingresos Proyecciones'!J9</f>
        <v>Escenario Financiero Año 2009</v>
      </c>
      <c r="K52" s="501" t="str">
        <f>+'Ingresos Proyecciones'!K9</f>
        <v>Escenario Financiero Año 2010</v>
      </c>
      <c r="L52" s="501" t="str">
        <f>+'Ingresos Proyecciones'!L9</f>
        <v>Escenario Financiero Año 2011</v>
      </c>
      <c r="M52" s="501" t="str">
        <f>+'Ingresos Proyecciones'!M9</f>
        <v>Escenario Financiero Año 2012</v>
      </c>
      <c r="N52" s="501" t="str">
        <f>+'Ingresos Proyecciones'!N9</f>
        <v>Escenario Financiero Año 2013</v>
      </c>
      <c r="O52" s="501" t="str">
        <f>+'Ingresos Proyecciones'!O9</f>
        <v>Escenario Financiero Año 2014</v>
      </c>
      <c r="P52" s="501" t="str">
        <f>+'Ingresos Proyecciones'!P9</f>
        <v>Escenario Financiero Año 2015</v>
      </c>
      <c r="Q52" s="501" t="e">
        <f>+'Ingresos Proyecciones'!#REF!</f>
        <v>#REF!</v>
      </c>
    </row>
    <row r="53" spans="1:17" ht="13.5" thickBot="1">
      <c r="B53" s="502"/>
      <c r="C53" s="503"/>
      <c r="D53" s="503" t="s">
        <v>45</v>
      </c>
      <c r="E53" s="503"/>
      <c r="F53" s="503"/>
      <c r="G53" s="503"/>
      <c r="H53" s="503"/>
      <c r="I53" s="503"/>
      <c r="J53" s="503"/>
      <c r="K53" s="503"/>
      <c r="L53" s="503"/>
      <c r="M53" s="503"/>
      <c r="N53" s="503"/>
      <c r="O53" s="503"/>
      <c r="P53" s="503"/>
      <c r="Q53" s="503"/>
    </row>
    <row r="54" spans="1:17">
      <c r="B54" s="505" t="s">
        <v>307</v>
      </c>
      <c r="C54" s="506">
        <f>+C55+C58+C61+C64+C67+C70+C73+C76+C79+C82</f>
        <v>0</v>
      </c>
      <c r="D54" s="506">
        <f t="shared" ref="D54:Q54" si="19">+D55+D58+D61+D64+D67+D70+D73+D76+D79+D82</f>
        <v>0</v>
      </c>
      <c r="E54" s="506">
        <f t="shared" si="19"/>
        <v>0</v>
      </c>
      <c r="F54" s="506">
        <f t="shared" si="19"/>
        <v>0</v>
      </c>
      <c r="G54" s="506">
        <f t="shared" si="19"/>
        <v>0</v>
      </c>
      <c r="H54" s="506">
        <f t="shared" si="19"/>
        <v>0</v>
      </c>
      <c r="I54" s="506">
        <f t="shared" si="19"/>
        <v>0</v>
      </c>
      <c r="J54" s="506">
        <f t="shared" si="19"/>
        <v>0</v>
      </c>
      <c r="K54" s="506">
        <f t="shared" si="19"/>
        <v>0</v>
      </c>
      <c r="L54" s="506">
        <f t="shared" si="19"/>
        <v>0</v>
      </c>
      <c r="M54" s="506">
        <f t="shared" si="19"/>
        <v>0</v>
      </c>
      <c r="N54" s="506">
        <f t="shared" si="19"/>
        <v>0</v>
      </c>
      <c r="O54" s="506">
        <f t="shared" si="19"/>
        <v>0</v>
      </c>
      <c r="P54" s="506">
        <f t="shared" si="19"/>
        <v>0</v>
      </c>
      <c r="Q54" s="506">
        <f t="shared" si="19"/>
        <v>0</v>
      </c>
    </row>
    <row r="55" spans="1:17">
      <c r="A55" s="509" t="s">
        <v>270</v>
      </c>
      <c r="B55" s="513" t="s">
        <v>308</v>
      </c>
      <c r="C55" s="727">
        <f>SUM(C56:C57)</f>
        <v>0</v>
      </c>
      <c r="D55" s="727">
        <f t="shared" ref="D55:Q55" si="20">SUM(D56:D57)</f>
        <v>0</v>
      </c>
      <c r="E55" s="727">
        <f t="shared" si="20"/>
        <v>0</v>
      </c>
      <c r="F55" s="727">
        <f t="shared" si="20"/>
        <v>0</v>
      </c>
      <c r="G55" s="727">
        <f t="shared" si="20"/>
        <v>0</v>
      </c>
      <c r="H55" s="727">
        <f t="shared" si="20"/>
        <v>0</v>
      </c>
      <c r="I55" s="727">
        <f t="shared" si="20"/>
        <v>0</v>
      </c>
      <c r="J55" s="727">
        <f t="shared" si="20"/>
        <v>0</v>
      </c>
      <c r="K55" s="727">
        <f t="shared" si="20"/>
        <v>0</v>
      </c>
      <c r="L55" s="727">
        <f t="shared" si="20"/>
        <v>0</v>
      </c>
      <c r="M55" s="727">
        <f t="shared" si="20"/>
        <v>0</v>
      </c>
      <c r="N55" s="727">
        <f t="shared" si="20"/>
        <v>0</v>
      </c>
      <c r="O55" s="727">
        <f t="shared" si="20"/>
        <v>0</v>
      </c>
      <c r="P55" s="727">
        <f t="shared" si="20"/>
        <v>0</v>
      </c>
      <c r="Q55" s="727">
        <f t="shared" si="20"/>
        <v>0</v>
      </c>
    </row>
    <row r="56" spans="1:17">
      <c r="A56" s="509" t="s">
        <v>309</v>
      </c>
      <c r="B56" s="701" t="s">
        <v>310</v>
      </c>
      <c r="C56" s="511"/>
      <c r="D56" s="511"/>
      <c r="E56" s="511"/>
      <c r="F56" s="511"/>
      <c r="G56" s="511"/>
      <c r="H56" s="511"/>
      <c r="I56" s="511"/>
      <c r="J56" s="511"/>
      <c r="K56" s="511"/>
      <c r="L56" s="511"/>
      <c r="M56" s="511"/>
      <c r="N56" s="511"/>
      <c r="O56" s="511"/>
      <c r="P56" s="511"/>
      <c r="Q56" s="511"/>
    </row>
    <row r="57" spans="1:17">
      <c r="A57" s="509" t="s">
        <v>311</v>
      </c>
      <c r="B57" s="701" t="s">
        <v>312</v>
      </c>
      <c r="C57" s="511"/>
      <c r="D57" s="511"/>
      <c r="E57" s="511"/>
      <c r="F57" s="511"/>
      <c r="G57" s="511"/>
      <c r="H57" s="511"/>
      <c r="I57" s="511"/>
      <c r="J57" s="511"/>
      <c r="K57" s="511"/>
      <c r="L57" s="511"/>
      <c r="M57" s="511"/>
      <c r="N57" s="511"/>
      <c r="O57" s="511"/>
      <c r="P57" s="511"/>
      <c r="Q57" s="511"/>
    </row>
    <row r="58" spans="1:17">
      <c r="A58" s="509" t="s">
        <v>272</v>
      </c>
      <c r="B58" s="513" t="s">
        <v>313</v>
      </c>
      <c r="C58" s="727">
        <f>SUM(C59:C60)</f>
        <v>0</v>
      </c>
      <c r="D58" s="727">
        <f t="shared" ref="D58:Q58" si="21">SUM(D59:D60)</f>
        <v>0</v>
      </c>
      <c r="E58" s="727">
        <f t="shared" si="21"/>
        <v>0</v>
      </c>
      <c r="F58" s="727">
        <f t="shared" si="21"/>
        <v>0</v>
      </c>
      <c r="G58" s="727">
        <f t="shared" si="21"/>
        <v>0</v>
      </c>
      <c r="H58" s="727">
        <f t="shared" si="21"/>
        <v>0</v>
      </c>
      <c r="I58" s="727">
        <f t="shared" si="21"/>
        <v>0</v>
      </c>
      <c r="J58" s="727">
        <f t="shared" si="21"/>
        <v>0</v>
      </c>
      <c r="K58" s="727">
        <f t="shared" si="21"/>
        <v>0</v>
      </c>
      <c r="L58" s="727">
        <f t="shared" si="21"/>
        <v>0</v>
      </c>
      <c r="M58" s="727">
        <f t="shared" si="21"/>
        <v>0</v>
      </c>
      <c r="N58" s="727">
        <f t="shared" si="21"/>
        <v>0</v>
      </c>
      <c r="O58" s="727">
        <f t="shared" si="21"/>
        <v>0</v>
      </c>
      <c r="P58" s="727">
        <f t="shared" si="21"/>
        <v>0</v>
      </c>
      <c r="Q58" s="727">
        <f t="shared" si="21"/>
        <v>0</v>
      </c>
    </row>
    <row r="59" spans="1:17">
      <c r="A59" s="375" t="s">
        <v>314</v>
      </c>
      <c r="B59" s="701" t="s">
        <v>310</v>
      </c>
      <c r="C59" s="511"/>
      <c r="D59" s="511"/>
      <c r="E59" s="511"/>
      <c r="F59" s="511"/>
      <c r="G59" s="511"/>
      <c r="H59" s="511"/>
      <c r="I59" s="511"/>
      <c r="J59" s="511"/>
      <c r="K59" s="511"/>
      <c r="L59" s="511"/>
      <c r="M59" s="511"/>
      <c r="N59" s="511"/>
      <c r="O59" s="511"/>
      <c r="P59" s="511"/>
      <c r="Q59" s="511"/>
    </row>
    <row r="60" spans="1:17">
      <c r="A60" s="375" t="s">
        <v>315</v>
      </c>
      <c r="B60" s="701" t="s">
        <v>312</v>
      </c>
      <c r="C60" s="511"/>
      <c r="D60" s="511"/>
      <c r="E60" s="511"/>
      <c r="F60" s="511"/>
      <c r="G60" s="511"/>
      <c r="H60" s="511"/>
      <c r="I60" s="511"/>
      <c r="J60" s="511"/>
      <c r="K60" s="511"/>
      <c r="L60" s="511"/>
      <c r="M60" s="511"/>
      <c r="N60" s="511"/>
      <c r="O60" s="511"/>
      <c r="P60" s="511"/>
      <c r="Q60" s="511"/>
    </row>
    <row r="61" spans="1:17">
      <c r="A61" s="509" t="s">
        <v>274</v>
      </c>
      <c r="B61" s="513" t="s">
        <v>316</v>
      </c>
      <c r="C61" s="727">
        <f>SUM(C62:C63)</f>
        <v>0</v>
      </c>
      <c r="D61" s="727">
        <f t="shared" ref="D61:Q61" si="22">SUM(D62:D63)</f>
        <v>0</v>
      </c>
      <c r="E61" s="727">
        <f t="shared" si="22"/>
        <v>0</v>
      </c>
      <c r="F61" s="727">
        <f t="shared" si="22"/>
        <v>0</v>
      </c>
      <c r="G61" s="727">
        <f t="shared" si="22"/>
        <v>0</v>
      </c>
      <c r="H61" s="727">
        <f t="shared" si="22"/>
        <v>0</v>
      </c>
      <c r="I61" s="727">
        <f t="shared" si="22"/>
        <v>0</v>
      </c>
      <c r="J61" s="727">
        <f t="shared" si="22"/>
        <v>0</v>
      </c>
      <c r="K61" s="727">
        <f t="shared" si="22"/>
        <v>0</v>
      </c>
      <c r="L61" s="727">
        <f t="shared" si="22"/>
        <v>0</v>
      </c>
      <c r="M61" s="727">
        <f t="shared" si="22"/>
        <v>0</v>
      </c>
      <c r="N61" s="727">
        <f t="shared" si="22"/>
        <v>0</v>
      </c>
      <c r="O61" s="727">
        <f t="shared" si="22"/>
        <v>0</v>
      </c>
      <c r="P61" s="727">
        <f t="shared" si="22"/>
        <v>0</v>
      </c>
      <c r="Q61" s="727">
        <f t="shared" si="22"/>
        <v>0</v>
      </c>
    </row>
    <row r="62" spans="1:17">
      <c r="A62" s="375" t="s">
        <v>317</v>
      </c>
      <c r="B62" s="701" t="s">
        <v>310</v>
      </c>
      <c r="C62" s="511"/>
      <c r="D62" s="511"/>
      <c r="E62" s="511"/>
      <c r="F62" s="511"/>
      <c r="G62" s="511"/>
      <c r="H62" s="511"/>
      <c r="I62" s="511"/>
      <c r="J62" s="511"/>
      <c r="K62" s="511"/>
      <c r="L62" s="511"/>
      <c r="M62" s="511"/>
      <c r="N62" s="511"/>
      <c r="O62" s="511"/>
      <c r="P62" s="511"/>
      <c r="Q62" s="511"/>
    </row>
    <row r="63" spans="1:17">
      <c r="A63" s="375" t="s">
        <v>318</v>
      </c>
      <c r="B63" s="701" t="s">
        <v>312</v>
      </c>
      <c r="C63" s="511"/>
      <c r="D63" s="511"/>
      <c r="E63" s="511"/>
      <c r="F63" s="511"/>
      <c r="G63" s="511"/>
      <c r="H63" s="511"/>
      <c r="I63" s="511"/>
      <c r="J63" s="511"/>
      <c r="K63" s="511"/>
      <c r="L63" s="511"/>
      <c r="M63" s="511"/>
      <c r="N63" s="511"/>
      <c r="O63" s="511"/>
      <c r="P63" s="511"/>
      <c r="Q63" s="511"/>
    </row>
    <row r="64" spans="1:17">
      <c r="A64" s="509" t="s">
        <v>276</v>
      </c>
      <c r="B64" s="513" t="s">
        <v>319</v>
      </c>
      <c r="C64" s="727">
        <f>SUM(C65:C66)</f>
        <v>0</v>
      </c>
      <c r="D64" s="727">
        <f t="shared" ref="D64:Q64" si="23">SUM(D65:D66)</f>
        <v>0</v>
      </c>
      <c r="E64" s="727">
        <f t="shared" si="23"/>
        <v>0</v>
      </c>
      <c r="F64" s="727">
        <f t="shared" si="23"/>
        <v>0</v>
      </c>
      <c r="G64" s="727">
        <f t="shared" si="23"/>
        <v>0</v>
      </c>
      <c r="H64" s="727">
        <f t="shared" si="23"/>
        <v>0</v>
      </c>
      <c r="I64" s="727">
        <f t="shared" si="23"/>
        <v>0</v>
      </c>
      <c r="J64" s="727">
        <f t="shared" si="23"/>
        <v>0</v>
      </c>
      <c r="K64" s="727">
        <f t="shared" si="23"/>
        <v>0</v>
      </c>
      <c r="L64" s="727">
        <f t="shared" si="23"/>
        <v>0</v>
      </c>
      <c r="M64" s="727">
        <f t="shared" si="23"/>
        <v>0</v>
      </c>
      <c r="N64" s="727">
        <f t="shared" si="23"/>
        <v>0</v>
      </c>
      <c r="O64" s="727">
        <f t="shared" si="23"/>
        <v>0</v>
      </c>
      <c r="P64" s="727">
        <f t="shared" si="23"/>
        <v>0</v>
      </c>
      <c r="Q64" s="727">
        <f t="shared" si="23"/>
        <v>0</v>
      </c>
    </row>
    <row r="65" spans="1:17">
      <c r="A65" s="375" t="s">
        <v>320</v>
      </c>
      <c r="B65" s="701" t="s">
        <v>310</v>
      </c>
      <c r="C65" s="511"/>
      <c r="D65" s="511"/>
      <c r="E65" s="511"/>
      <c r="F65" s="511"/>
      <c r="G65" s="511"/>
      <c r="H65" s="511"/>
      <c r="I65" s="511"/>
      <c r="J65" s="511"/>
      <c r="K65" s="511"/>
      <c r="L65" s="511"/>
      <c r="M65" s="511"/>
      <c r="N65" s="511"/>
      <c r="O65" s="511"/>
      <c r="P65" s="511"/>
      <c r="Q65" s="511"/>
    </row>
    <row r="66" spans="1:17">
      <c r="A66" s="375" t="s">
        <v>321</v>
      </c>
      <c r="B66" s="701" t="s">
        <v>312</v>
      </c>
      <c r="C66" s="511"/>
      <c r="D66" s="511"/>
      <c r="E66" s="511"/>
      <c r="F66" s="511"/>
      <c r="G66" s="511"/>
      <c r="H66" s="511"/>
      <c r="I66" s="511"/>
      <c r="J66" s="511"/>
      <c r="K66" s="511"/>
      <c r="L66" s="511"/>
      <c r="M66" s="511"/>
      <c r="N66" s="511"/>
      <c r="O66" s="511"/>
      <c r="P66" s="511"/>
      <c r="Q66" s="511"/>
    </row>
    <row r="67" spans="1:17">
      <c r="A67" s="509" t="s">
        <v>278</v>
      </c>
      <c r="B67" s="513" t="s">
        <v>322</v>
      </c>
      <c r="C67" s="727">
        <f>SUM(C68:C69)</f>
        <v>0</v>
      </c>
      <c r="D67" s="727">
        <f t="shared" ref="D67:Q67" si="24">SUM(D68:D69)</f>
        <v>0</v>
      </c>
      <c r="E67" s="727">
        <f t="shared" si="24"/>
        <v>0</v>
      </c>
      <c r="F67" s="727">
        <f t="shared" si="24"/>
        <v>0</v>
      </c>
      <c r="G67" s="727">
        <f t="shared" si="24"/>
        <v>0</v>
      </c>
      <c r="H67" s="727">
        <f t="shared" si="24"/>
        <v>0</v>
      </c>
      <c r="I67" s="727">
        <f t="shared" si="24"/>
        <v>0</v>
      </c>
      <c r="J67" s="727">
        <f t="shared" si="24"/>
        <v>0</v>
      </c>
      <c r="K67" s="727">
        <f t="shared" si="24"/>
        <v>0</v>
      </c>
      <c r="L67" s="727">
        <f t="shared" si="24"/>
        <v>0</v>
      </c>
      <c r="M67" s="727">
        <f t="shared" si="24"/>
        <v>0</v>
      </c>
      <c r="N67" s="727">
        <f t="shared" si="24"/>
        <v>0</v>
      </c>
      <c r="O67" s="727">
        <f t="shared" si="24"/>
        <v>0</v>
      </c>
      <c r="P67" s="727">
        <f t="shared" si="24"/>
        <v>0</v>
      </c>
      <c r="Q67" s="727">
        <f t="shared" si="24"/>
        <v>0</v>
      </c>
    </row>
    <row r="68" spans="1:17">
      <c r="A68" s="375" t="s">
        <v>323</v>
      </c>
      <c r="B68" s="701" t="s">
        <v>310</v>
      </c>
      <c r="C68" s="511"/>
      <c r="D68" s="511"/>
      <c r="E68" s="511"/>
      <c r="F68" s="511"/>
      <c r="G68" s="511"/>
      <c r="H68" s="511"/>
      <c r="I68" s="511"/>
      <c r="J68" s="511"/>
      <c r="K68" s="511"/>
      <c r="L68" s="511"/>
      <c r="M68" s="511"/>
      <c r="N68" s="511"/>
      <c r="O68" s="511"/>
      <c r="P68" s="511"/>
      <c r="Q68" s="511"/>
    </row>
    <row r="69" spans="1:17">
      <c r="A69" s="375" t="s">
        <v>324</v>
      </c>
      <c r="B69" s="701" t="s">
        <v>312</v>
      </c>
      <c r="C69" s="511"/>
      <c r="D69" s="511"/>
      <c r="E69" s="511"/>
      <c r="F69" s="511"/>
      <c r="G69" s="511"/>
      <c r="H69" s="511"/>
      <c r="I69" s="511"/>
      <c r="J69" s="511"/>
      <c r="K69" s="511"/>
      <c r="L69" s="511"/>
      <c r="M69" s="511"/>
      <c r="N69" s="511"/>
      <c r="O69" s="511"/>
      <c r="P69" s="511"/>
      <c r="Q69" s="511"/>
    </row>
    <row r="70" spans="1:17">
      <c r="A70" s="509" t="s">
        <v>280</v>
      </c>
      <c r="B70" s="513" t="s">
        <v>325</v>
      </c>
      <c r="C70" s="727">
        <f>SUM(C71:C72)</f>
        <v>0</v>
      </c>
      <c r="D70" s="727">
        <f t="shared" ref="D70:Q70" si="25">SUM(D71:D72)</f>
        <v>0</v>
      </c>
      <c r="E70" s="727">
        <f t="shared" si="25"/>
        <v>0</v>
      </c>
      <c r="F70" s="727">
        <f t="shared" si="25"/>
        <v>0</v>
      </c>
      <c r="G70" s="727">
        <f t="shared" si="25"/>
        <v>0</v>
      </c>
      <c r="H70" s="727">
        <f t="shared" si="25"/>
        <v>0</v>
      </c>
      <c r="I70" s="727">
        <f t="shared" si="25"/>
        <v>0</v>
      </c>
      <c r="J70" s="727">
        <f t="shared" si="25"/>
        <v>0</v>
      </c>
      <c r="K70" s="727">
        <f t="shared" si="25"/>
        <v>0</v>
      </c>
      <c r="L70" s="727">
        <f t="shared" si="25"/>
        <v>0</v>
      </c>
      <c r="M70" s="727">
        <f t="shared" si="25"/>
        <v>0</v>
      </c>
      <c r="N70" s="727">
        <f t="shared" si="25"/>
        <v>0</v>
      </c>
      <c r="O70" s="727">
        <f t="shared" si="25"/>
        <v>0</v>
      </c>
      <c r="P70" s="727">
        <f t="shared" si="25"/>
        <v>0</v>
      </c>
      <c r="Q70" s="727">
        <f t="shared" si="25"/>
        <v>0</v>
      </c>
    </row>
    <row r="71" spans="1:17">
      <c r="A71" s="375" t="s">
        <v>326</v>
      </c>
      <c r="B71" s="701" t="s">
        <v>310</v>
      </c>
      <c r="C71" s="511"/>
      <c r="D71" s="511"/>
      <c r="E71" s="511"/>
      <c r="F71" s="511"/>
      <c r="G71" s="511"/>
      <c r="H71" s="511"/>
      <c r="I71" s="511"/>
      <c r="J71" s="511"/>
      <c r="K71" s="511"/>
      <c r="L71" s="511"/>
      <c r="M71" s="511"/>
      <c r="N71" s="511"/>
      <c r="O71" s="511"/>
      <c r="P71" s="511"/>
      <c r="Q71" s="511"/>
    </row>
    <row r="72" spans="1:17">
      <c r="A72" s="375" t="s">
        <v>327</v>
      </c>
      <c r="B72" s="701" t="s">
        <v>312</v>
      </c>
      <c r="C72" s="511"/>
      <c r="D72" s="511"/>
      <c r="E72" s="511"/>
      <c r="F72" s="511"/>
      <c r="G72" s="511"/>
      <c r="H72" s="511"/>
      <c r="I72" s="511"/>
      <c r="J72" s="511"/>
      <c r="K72" s="511"/>
      <c r="L72" s="511"/>
      <c r="M72" s="511"/>
      <c r="N72" s="511"/>
      <c r="O72" s="511"/>
      <c r="P72" s="511"/>
      <c r="Q72" s="511"/>
    </row>
    <row r="73" spans="1:17">
      <c r="A73" s="509" t="s">
        <v>282</v>
      </c>
      <c r="B73" s="513" t="s">
        <v>328</v>
      </c>
      <c r="C73" s="727">
        <f>SUM(C74:C75)</f>
        <v>0</v>
      </c>
      <c r="D73" s="727">
        <f t="shared" ref="D73:Q73" si="26">SUM(D74:D75)</f>
        <v>0</v>
      </c>
      <c r="E73" s="727">
        <f t="shared" si="26"/>
        <v>0</v>
      </c>
      <c r="F73" s="727">
        <f t="shared" si="26"/>
        <v>0</v>
      </c>
      <c r="G73" s="727">
        <f t="shared" si="26"/>
        <v>0</v>
      </c>
      <c r="H73" s="727">
        <f t="shared" si="26"/>
        <v>0</v>
      </c>
      <c r="I73" s="727">
        <f t="shared" si="26"/>
        <v>0</v>
      </c>
      <c r="J73" s="727">
        <f t="shared" si="26"/>
        <v>0</v>
      </c>
      <c r="K73" s="727">
        <f t="shared" si="26"/>
        <v>0</v>
      </c>
      <c r="L73" s="727">
        <f t="shared" si="26"/>
        <v>0</v>
      </c>
      <c r="M73" s="727">
        <f t="shared" si="26"/>
        <v>0</v>
      </c>
      <c r="N73" s="727">
        <f t="shared" si="26"/>
        <v>0</v>
      </c>
      <c r="O73" s="727">
        <f t="shared" si="26"/>
        <v>0</v>
      </c>
      <c r="P73" s="727">
        <f t="shared" si="26"/>
        <v>0</v>
      </c>
      <c r="Q73" s="727">
        <f t="shared" si="26"/>
        <v>0</v>
      </c>
    </row>
    <row r="74" spans="1:17">
      <c r="A74" s="375" t="s">
        <v>329</v>
      </c>
      <c r="B74" s="701" t="s">
        <v>310</v>
      </c>
      <c r="C74" s="511"/>
      <c r="D74" s="511"/>
      <c r="E74" s="511"/>
      <c r="F74" s="511"/>
      <c r="G74" s="511"/>
      <c r="H74" s="511"/>
      <c r="I74" s="511"/>
      <c r="J74" s="511"/>
      <c r="K74" s="511"/>
      <c r="L74" s="511"/>
      <c r="M74" s="511"/>
      <c r="N74" s="511"/>
      <c r="O74" s="511"/>
      <c r="P74" s="511"/>
      <c r="Q74" s="511"/>
    </row>
    <row r="75" spans="1:17">
      <c r="A75" s="375" t="s">
        <v>330</v>
      </c>
      <c r="B75" s="701" t="s">
        <v>312</v>
      </c>
      <c r="C75" s="511"/>
      <c r="D75" s="511"/>
      <c r="E75" s="511"/>
      <c r="F75" s="511"/>
      <c r="G75" s="511"/>
      <c r="H75" s="511"/>
      <c r="I75" s="511"/>
      <c r="J75" s="511"/>
      <c r="K75" s="511"/>
      <c r="L75" s="511"/>
      <c r="M75" s="511"/>
      <c r="N75" s="511"/>
      <c r="O75" s="511"/>
      <c r="P75" s="511"/>
      <c r="Q75" s="511"/>
    </row>
    <row r="76" spans="1:17">
      <c r="A76" s="504" t="s">
        <v>284</v>
      </c>
      <c r="B76" s="513" t="s">
        <v>331</v>
      </c>
      <c r="C76" s="727">
        <f>SUM(C77:C78)</f>
        <v>0</v>
      </c>
      <c r="D76" s="727">
        <f t="shared" ref="D76:Q76" si="27">SUM(D77:D78)</f>
        <v>0</v>
      </c>
      <c r="E76" s="727">
        <f t="shared" si="27"/>
        <v>0</v>
      </c>
      <c r="F76" s="727">
        <f t="shared" si="27"/>
        <v>0</v>
      </c>
      <c r="G76" s="727">
        <f t="shared" si="27"/>
        <v>0</v>
      </c>
      <c r="H76" s="727">
        <f t="shared" si="27"/>
        <v>0</v>
      </c>
      <c r="I76" s="727">
        <f t="shared" si="27"/>
        <v>0</v>
      </c>
      <c r="J76" s="727">
        <f t="shared" si="27"/>
        <v>0</v>
      </c>
      <c r="K76" s="727">
        <f t="shared" si="27"/>
        <v>0</v>
      </c>
      <c r="L76" s="727">
        <f t="shared" si="27"/>
        <v>0</v>
      </c>
      <c r="M76" s="727">
        <f t="shared" si="27"/>
        <v>0</v>
      </c>
      <c r="N76" s="727">
        <f t="shared" si="27"/>
        <v>0</v>
      </c>
      <c r="O76" s="727">
        <f t="shared" si="27"/>
        <v>0</v>
      </c>
      <c r="P76" s="727">
        <f t="shared" si="27"/>
        <v>0</v>
      </c>
      <c r="Q76" s="727">
        <f t="shared" si="27"/>
        <v>0</v>
      </c>
    </row>
    <row r="77" spans="1:17">
      <c r="A77" s="375" t="s">
        <v>332</v>
      </c>
      <c r="B77" s="701" t="s">
        <v>310</v>
      </c>
      <c r="C77" s="511"/>
      <c r="D77" s="511"/>
      <c r="E77" s="511"/>
      <c r="F77" s="511"/>
      <c r="G77" s="511"/>
      <c r="H77" s="511"/>
      <c r="I77" s="511"/>
      <c r="J77" s="511"/>
      <c r="K77" s="511"/>
      <c r="L77" s="511"/>
      <c r="M77" s="511"/>
      <c r="N77" s="511"/>
      <c r="O77" s="511"/>
      <c r="P77" s="511"/>
      <c r="Q77" s="511"/>
    </row>
    <row r="78" spans="1:17">
      <c r="A78" s="375" t="s">
        <v>333</v>
      </c>
      <c r="B78" s="701" t="s">
        <v>312</v>
      </c>
      <c r="C78" s="511"/>
      <c r="D78" s="511"/>
      <c r="E78" s="511"/>
      <c r="F78" s="511"/>
      <c r="G78" s="511"/>
      <c r="H78" s="511"/>
      <c r="I78" s="511"/>
      <c r="J78" s="511"/>
      <c r="K78" s="511"/>
      <c r="L78" s="511"/>
      <c r="M78" s="511"/>
      <c r="N78" s="511"/>
      <c r="O78" s="511"/>
      <c r="P78" s="511"/>
      <c r="Q78" s="511"/>
    </row>
    <row r="79" spans="1:17">
      <c r="A79" s="504" t="s">
        <v>286</v>
      </c>
      <c r="B79" s="513" t="s">
        <v>334</v>
      </c>
      <c r="C79" s="727">
        <f>SUM(C80:C81)</f>
        <v>0</v>
      </c>
      <c r="D79" s="727">
        <f t="shared" ref="D79:Q79" si="28">SUM(D80:D81)</f>
        <v>0</v>
      </c>
      <c r="E79" s="727">
        <f t="shared" si="28"/>
        <v>0</v>
      </c>
      <c r="F79" s="727">
        <f t="shared" si="28"/>
        <v>0</v>
      </c>
      <c r="G79" s="727">
        <f t="shared" si="28"/>
        <v>0</v>
      </c>
      <c r="H79" s="727">
        <f t="shared" si="28"/>
        <v>0</v>
      </c>
      <c r="I79" s="727">
        <f t="shared" si="28"/>
        <v>0</v>
      </c>
      <c r="J79" s="727">
        <f t="shared" si="28"/>
        <v>0</v>
      </c>
      <c r="K79" s="727">
        <f t="shared" si="28"/>
        <v>0</v>
      </c>
      <c r="L79" s="727">
        <f t="shared" si="28"/>
        <v>0</v>
      </c>
      <c r="M79" s="727">
        <f t="shared" si="28"/>
        <v>0</v>
      </c>
      <c r="N79" s="727">
        <f t="shared" si="28"/>
        <v>0</v>
      </c>
      <c r="O79" s="727">
        <f t="shared" si="28"/>
        <v>0</v>
      </c>
      <c r="P79" s="727">
        <f t="shared" si="28"/>
        <v>0</v>
      </c>
      <c r="Q79" s="727">
        <f t="shared" si="28"/>
        <v>0</v>
      </c>
    </row>
    <row r="80" spans="1:17">
      <c r="A80" s="375" t="s">
        <v>335</v>
      </c>
      <c r="B80" s="701" t="s">
        <v>310</v>
      </c>
      <c r="C80" s="511"/>
      <c r="D80" s="511"/>
      <c r="E80" s="511"/>
      <c r="F80" s="511"/>
      <c r="G80" s="511"/>
      <c r="H80" s="511"/>
      <c r="I80" s="511"/>
      <c r="J80" s="511"/>
      <c r="K80" s="511"/>
      <c r="L80" s="511"/>
      <c r="M80" s="511"/>
      <c r="N80" s="511"/>
      <c r="O80" s="511"/>
      <c r="P80" s="511"/>
      <c r="Q80" s="511"/>
    </row>
    <row r="81" spans="1:17">
      <c r="A81" s="375" t="s">
        <v>336</v>
      </c>
      <c r="B81" s="701" t="s">
        <v>312</v>
      </c>
      <c r="C81" s="511"/>
      <c r="D81" s="511"/>
      <c r="E81" s="511"/>
      <c r="F81" s="511"/>
      <c r="G81" s="511"/>
      <c r="H81" s="511"/>
      <c r="I81" s="511"/>
      <c r="J81" s="511"/>
      <c r="K81" s="511"/>
      <c r="L81" s="511"/>
      <c r="M81" s="511"/>
      <c r="N81" s="511"/>
      <c r="O81" s="511"/>
      <c r="P81" s="511"/>
      <c r="Q81" s="511"/>
    </row>
    <row r="82" spans="1:17">
      <c r="A82" s="504" t="s">
        <v>288</v>
      </c>
      <c r="B82" s="513" t="s">
        <v>337</v>
      </c>
      <c r="C82" s="727">
        <f>SUM(C83:C84)</f>
        <v>0</v>
      </c>
      <c r="D82" s="727">
        <f t="shared" ref="D82:Q82" si="29">SUM(D83:D84)</f>
        <v>0</v>
      </c>
      <c r="E82" s="727">
        <f t="shared" si="29"/>
        <v>0</v>
      </c>
      <c r="F82" s="727">
        <f t="shared" si="29"/>
        <v>0</v>
      </c>
      <c r="G82" s="727">
        <f t="shared" si="29"/>
        <v>0</v>
      </c>
      <c r="H82" s="727">
        <f t="shared" si="29"/>
        <v>0</v>
      </c>
      <c r="I82" s="727">
        <f t="shared" si="29"/>
        <v>0</v>
      </c>
      <c r="J82" s="727">
        <f t="shared" si="29"/>
        <v>0</v>
      </c>
      <c r="K82" s="727">
        <f t="shared" si="29"/>
        <v>0</v>
      </c>
      <c r="L82" s="727">
        <f t="shared" si="29"/>
        <v>0</v>
      </c>
      <c r="M82" s="727">
        <f t="shared" si="29"/>
        <v>0</v>
      </c>
      <c r="N82" s="727">
        <f t="shared" si="29"/>
        <v>0</v>
      </c>
      <c r="O82" s="727">
        <f t="shared" si="29"/>
        <v>0</v>
      </c>
      <c r="P82" s="727">
        <f t="shared" si="29"/>
        <v>0</v>
      </c>
      <c r="Q82" s="727">
        <f t="shared" si="29"/>
        <v>0</v>
      </c>
    </row>
    <row r="83" spans="1:17">
      <c r="A83" s="375" t="s">
        <v>338</v>
      </c>
      <c r="B83" s="701" t="s">
        <v>310</v>
      </c>
      <c r="C83" s="511"/>
      <c r="D83" s="511"/>
      <c r="E83" s="511"/>
      <c r="F83" s="511"/>
      <c r="G83" s="511"/>
      <c r="H83" s="511"/>
      <c r="I83" s="511"/>
      <c r="J83" s="511"/>
      <c r="K83" s="511"/>
      <c r="L83" s="511"/>
      <c r="M83" s="511"/>
      <c r="N83" s="511"/>
      <c r="O83" s="511"/>
      <c r="P83" s="511"/>
      <c r="Q83" s="511"/>
    </row>
    <row r="84" spans="1:17" ht="13.5" thickBot="1">
      <c r="A84" s="375" t="s">
        <v>339</v>
      </c>
      <c r="B84" s="701" t="s">
        <v>312</v>
      </c>
      <c r="C84" s="511"/>
      <c r="D84" s="511"/>
      <c r="E84" s="511"/>
      <c r="F84" s="511"/>
      <c r="G84" s="511"/>
      <c r="H84" s="511"/>
      <c r="I84" s="511"/>
      <c r="J84" s="511"/>
      <c r="K84" s="511"/>
      <c r="L84" s="511"/>
      <c r="M84" s="511"/>
      <c r="N84" s="511"/>
      <c r="O84" s="511"/>
      <c r="P84" s="511"/>
      <c r="Q84" s="511"/>
    </row>
    <row r="85" spans="1:17">
      <c r="A85" s="504" t="s">
        <v>290</v>
      </c>
      <c r="B85" s="505" t="s">
        <v>340</v>
      </c>
      <c r="C85" s="514">
        <f>+SUM(C86:C93)</f>
        <v>0</v>
      </c>
      <c r="D85" s="514">
        <f t="shared" ref="D85:Q85" si="30">+SUM(D86:D93)</f>
        <v>0</v>
      </c>
      <c r="E85" s="514">
        <f t="shared" si="30"/>
        <v>0</v>
      </c>
      <c r="F85" s="514">
        <f t="shared" si="30"/>
        <v>0</v>
      </c>
      <c r="G85" s="514">
        <f t="shared" si="30"/>
        <v>0</v>
      </c>
      <c r="H85" s="514">
        <f t="shared" si="30"/>
        <v>0</v>
      </c>
      <c r="I85" s="514">
        <f t="shared" si="30"/>
        <v>0</v>
      </c>
      <c r="J85" s="514">
        <f t="shared" si="30"/>
        <v>0</v>
      </c>
      <c r="K85" s="514">
        <f t="shared" si="30"/>
        <v>0</v>
      </c>
      <c r="L85" s="514">
        <f t="shared" si="30"/>
        <v>0</v>
      </c>
      <c r="M85" s="514">
        <f t="shared" si="30"/>
        <v>0</v>
      </c>
      <c r="N85" s="514">
        <f t="shared" si="30"/>
        <v>0</v>
      </c>
      <c r="O85" s="514">
        <f t="shared" si="30"/>
        <v>0</v>
      </c>
      <c r="P85" s="514">
        <f t="shared" si="30"/>
        <v>0</v>
      </c>
      <c r="Q85" s="515">
        <f t="shared" si="30"/>
        <v>0</v>
      </c>
    </row>
    <row r="86" spans="1:17">
      <c r="A86" s="504" t="s">
        <v>292</v>
      </c>
      <c r="B86" s="510" t="s">
        <v>293</v>
      </c>
      <c r="C86" s="511"/>
      <c r="D86" s="511"/>
      <c r="E86" s="511"/>
      <c r="F86" s="511"/>
      <c r="G86" s="511"/>
      <c r="H86" s="511"/>
      <c r="I86" s="511"/>
      <c r="J86" s="511"/>
      <c r="K86" s="511"/>
      <c r="L86" s="511"/>
      <c r="M86" s="511"/>
      <c r="N86" s="511"/>
      <c r="O86" s="511"/>
      <c r="P86" s="511"/>
      <c r="Q86" s="511"/>
    </row>
    <row r="87" spans="1:17">
      <c r="A87" s="504" t="s">
        <v>294</v>
      </c>
      <c r="B87" s="510" t="s">
        <v>295</v>
      </c>
      <c r="C87" s="511"/>
      <c r="D87" s="511"/>
      <c r="E87" s="511"/>
      <c r="F87" s="511"/>
      <c r="G87" s="511"/>
      <c r="H87" s="511"/>
      <c r="I87" s="689"/>
      <c r="J87" s="511"/>
      <c r="K87" s="511"/>
      <c r="L87" s="511"/>
      <c r="M87" s="511"/>
      <c r="N87" s="511"/>
      <c r="O87" s="511"/>
      <c r="P87" s="511"/>
      <c r="Q87" s="512"/>
    </row>
    <row r="88" spans="1:17">
      <c r="A88" s="504" t="s">
        <v>296</v>
      </c>
      <c r="B88" s="510" t="s">
        <v>297</v>
      </c>
      <c r="C88" s="511"/>
      <c r="D88" s="511"/>
      <c r="E88" s="511"/>
      <c r="F88" s="511"/>
      <c r="G88" s="511"/>
      <c r="H88" s="511"/>
      <c r="I88" s="511"/>
      <c r="J88" s="511"/>
      <c r="K88" s="511"/>
      <c r="L88" s="511"/>
      <c r="M88" s="511"/>
      <c r="N88" s="511"/>
      <c r="O88" s="511"/>
      <c r="P88" s="511"/>
      <c r="Q88" s="512"/>
    </row>
    <row r="89" spans="1:17">
      <c r="A89" s="504" t="s">
        <v>298</v>
      </c>
      <c r="B89" s="510" t="s">
        <v>299</v>
      </c>
      <c r="C89" s="511"/>
      <c r="D89" s="511"/>
      <c r="E89" s="511"/>
      <c r="F89" s="511"/>
      <c r="G89" s="511"/>
      <c r="H89" s="511"/>
      <c r="I89" s="511"/>
      <c r="J89" s="511"/>
      <c r="K89" s="511"/>
      <c r="L89" s="511"/>
      <c r="M89" s="511"/>
      <c r="N89" s="511"/>
      <c r="O89" s="511"/>
      <c r="P89" s="511"/>
      <c r="Q89" s="512"/>
    </row>
    <row r="90" spans="1:17">
      <c r="A90" s="504" t="s">
        <v>300</v>
      </c>
      <c r="B90" s="516" t="s">
        <v>301</v>
      </c>
      <c r="C90" s="517"/>
      <c r="D90" s="517"/>
      <c r="E90" s="517"/>
      <c r="F90" s="517"/>
      <c r="G90" s="517"/>
      <c r="H90" s="517"/>
      <c r="I90" s="517"/>
      <c r="J90" s="517"/>
      <c r="K90" s="517"/>
      <c r="L90" s="517"/>
      <c r="M90" s="517"/>
      <c r="N90" s="517"/>
      <c r="O90" s="517"/>
      <c r="P90" s="517"/>
      <c r="Q90" s="518"/>
    </row>
    <row r="91" spans="1:17">
      <c r="A91" s="504" t="s">
        <v>302</v>
      </c>
      <c r="B91" s="510" t="s">
        <v>285</v>
      </c>
      <c r="C91" s="517"/>
      <c r="D91" s="517"/>
      <c r="E91" s="517"/>
      <c r="F91" s="517"/>
      <c r="G91" s="517"/>
      <c r="H91" s="517"/>
      <c r="I91" s="517"/>
      <c r="J91" s="517"/>
      <c r="K91" s="517"/>
      <c r="L91" s="517"/>
      <c r="M91" s="517"/>
      <c r="N91" s="517"/>
      <c r="O91" s="517"/>
      <c r="P91" s="517"/>
      <c r="Q91" s="518"/>
    </row>
    <row r="92" spans="1:17">
      <c r="A92" s="504" t="s">
        <v>303</v>
      </c>
      <c r="B92" s="510" t="s">
        <v>287</v>
      </c>
      <c r="C92" s="517"/>
      <c r="D92" s="517"/>
      <c r="E92" s="517"/>
      <c r="F92" s="517"/>
      <c r="G92" s="517"/>
      <c r="H92" s="517"/>
      <c r="I92" s="517"/>
      <c r="J92" s="517"/>
      <c r="K92" s="517"/>
      <c r="L92" s="517"/>
      <c r="M92" s="517"/>
      <c r="N92" s="517"/>
      <c r="O92" s="517"/>
      <c r="P92" s="517"/>
      <c r="Q92" s="518"/>
    </row>
    <row r="93" spans="1:17" ht="13.5" thickBot="1">
      <c r="A93" s="504" t="s">
        <v>304</v>
      </c>
      <c r="B93" s="519" t="s">
        <v>289</v>
      </c>
      <c r="C93" s="520"/>
      <c r="D93" s="520"/>
      <c r="E93" s="520"/>
      <c r="F93" s="520"/>
      <c r="G93" s="520"/>
      <c r="H93" s="520"/>
      <c r="I93" s="520"/>
      <c r="J93" s="520"/>
      <c r="K93" s="520"/>
      <c r="L93" s="520"/>
      <c r="M93" s="520"/>
      <c r="N93" s="520"/>
      <c r="O93" s="520"/>
      <c r="P93" s="520"/>
      <c r="Q93" s="521"/>
    </row>
    <row r="95" spans="1:17" ht="15.75" thickBot="1">
      <c r="A95" s="904"/>
      <c r="B95" s="905"/>
      <c r="C95" s="14"/>
      <c r="D95" s="393"/>
      <c r="E95" s="393"/>
      <c r="F95" s="393"/>
      <c r="G95" s="393"/>
      <c r="H95" s="393"/>
      <c r="I95" s="393"/>
      <c r="J95" s="393"/>
      <c r="K95" s="393"/>
      <c r="L95" s="393"/>
      <c r="M95" s="393"/>
      <c r="N95" s="393"/>
      <c r="O95" s="393"/>
      <c r="P95" s="393"/>
      <c r="Q95" s="393"/>
    </row>
    <row r="101" spans="3:17" s="946" customFormat="1"/>
    <row r="102" spans="3:17" s="9" customFormat="1" hidden="1">
      <c r="C102" s="9">
        <v>3</v>
      </c>
      <c r="D102" s="9">
        <v>4</v>
      </c>
      <c r="E102" s="9">
        <v>5</v>
      </c>
      <c r="F102" s="9">
        <v>6</v>
      </c>
      <c r="G102" s="9">
        <v>7</v>
      </c>
      <c r="H102" s="9">
        <v>8</v>
      </c>
      <c r="I102" s="9">
        <v>9</v>
      </c>
      <c r="J102" s="9">
        <v>10</v>
      </c>
      <c r="K102" s="9">
        <v>11</v>
      </c>
      <c r="L102" s="9">
        <v>12</v>
      </c>
      <c r="M102" s="9">
        <v>13</v>
      </c>
      <c r="N102" s="9">
        <v>14</v>
      </c>
      <c r="O102" s="9">
        <v>15</v>
      </c>
      <c r="P102" s="9">
        <v>16</v>
      </c>
      <c r="Q102" s="9">
        <v>17</v>
      </c>
    </row>
    <row r="103" spans="3:17" s="946" customFormat="1"/>
    <row r="104" spans="3:17" s="9" customFormat="1" hidden="1"/>
    <row r="105" spans="3:17" hidden="1">
      <c r="C105" s="917">
        <v>3</v>
      </c>
      <c r="D105" s="917">
        <v>4</v>
      </c>
      <c r="E105" s="917">
        <v>5</v>
      </c>
      <c r="F105" s="917">
        <v>6</v>
      </c>
      <c r="G105" s="917">
        <v>7</v>
      </c>
      <c r="H105" s="917">
        <v>8</v>
      </c>
      <c r="I105" s="917">
        <v>9</v>
      </c>
      <c r="J105" s="917">
        <v>10</v>
      </c>
      <c r="K105" s="917">
        <v>11</v>
      </c>
      <c r="L105" s="917">
        <v>12</v>
      </c>
      <c r="M105" s="917">
        <v>13</v>
      </c>
      <c r="N105" s="917">
        <v>14</v>
      </c>
      <c r="O105" s="917">
        <v>15</v>
      </c>
      <c r="P105" s="917">
        <v>16</v>
      </c>
      <c r="Q105" s="917">
        <v>17</v>
      </c>
    </row>
    <row r="106" spans="3:17" s="713" customFormat="1"/>
  </sheetData>
  <phoneticPr fontId="33" type="noConversion"/>
  <printOptions horizontalCentered="1" verticalCentered="1"/>
  <pageMargins left="0.19685039370078741" right="0.19685039370078741" top="0.39370078740157483" bottom="0.39370078740157483" header="0.19685039370078741" footer="0.19685039370078741"/>
  <pageSetup paperSize="119" scale="59" orientation="landscape" r:id="rId1"/>
  <headerFooter alignWithMargins="0">
    <oddHeader>&amp;C&amp;"Arial,Negrita"&amp;12&amp;F</oddHeader>
    <oddFooter>&amp;L&amp;"Arial,Negrita"&amp;F &amp;A&amp;R&amp;"Arial,Negrita"Página &amp;P de &amp;N</oddFooter>
  </headerFooter>
  <legacyDrawing r:id="rId2"/>
</worksheet>
</file>

<file path=xl/worksheets/sheet9.xml><?xml version="1.0" encoding="utf-8"?>
<worksheet xmlns="http://schemas.openxmlformats.org/spreadsheetml/2006/main" xmlns:r="http://schemas.openxmlformats.org/officeDocument/2006/relationships">
  <sheetPr codeName="Hoja8">
    <pageSetUpPr fitToPage="1"/>
  </sheetPr>
  <dimension ref="A1:Q1029"/>
  <sheetViews>
    <sheetView topLeftCell="B21" zoomScale="85" workbookViewId="0">
      <pane xSplit="1" ySplit="7" topLeftCell="H142" activePane="bottomRight" state="frozen"/>
      <selection activeCell="B21" sqref="B21"/>
      <selection pane="topRight" activeCell="C21" sqref="C21"/>
      <selection pane="bottomLeft" activeCell="B28" sqref="B28"/>
      <selection pane="bottomRight" activeCell="H152" sqref="H152"/>
    </sheetView>
  </sheetViews>
  <sheetFormatPr baseColWidth="10" defaultRowHeight="15"/>
  <cols>
    <col min="1" max="1" width="14.5703125" style="475" customWidth="1"/>
    <col min="2" max="2" width="65.7109375" style="1142" customWidth="1"/>
    <col min="3" max="4" width="14.85546875" style="476" hidden="1" customWidth="1"/>
    <col min="5" max="6" width="14.85546875" style="475" hidden="1" customWidth="1"/>
    <col min="7" max="7" width="13.5703125" style="475" hidden="1" customWidth="1"/>
    <col min="8" max="8" width="14.42578125" style="475" customWidth="1"/>
    <col min="9" max="9" width="14.140625" style="475" customWidth="1"/>
    <col min="10" max="10" width="14" style="475" customWidth="1"/>
    <col min="11" max="12" width="13.85546875" style="475" customWidth="1"/>
    <col min="13" max="13" width="13.5703125" style="475" customWidth="1"/>
    <col min="14" max="14" width="14.28515625" style="475" customWidth="1"/>
    <col min="15" max="16" width="14" style="475" customWidth="1"/>
    <col min="17" max="17" width="14.85546875" style="475" customWidth="1"/>
    <col min="18" max="16384" width="11.42578125" style="475"/>
  </cols>
  <sheetData>
    <row r="1" spans="2:7" ht="24" customHeight="1" thickBot="1">
      <c r="B1" s="1124" t="s">
        <v>556</v>
      </c>
    </row>
    <row r="2" spans="2:7" hidden="1">
      <c r="B2" s="1125"/>
    </row>
    <row r="3" spans="2:7" hidden="1">
      <c r="B3" s="1126" t="s">
        <v>780</v>
      </c>
    </row>
    <row r="4" spans="2:7" hidden="1">
      <c r="B4" s="1126" t="s">
        <v>781</v>
      </c>
    </row>
    <row r="5" spans="2:7" hidden="1">
      <c r="B5" s="1126"/>
    </row>
    <row r="6" spans="2:7" ht="15.75" hidden="1" thickBot="1">
      <c r="B6" s="1125"/>
    </row>
    <row r="7" spans="2:7" hidden="1">
      <c r="B7" s="1127" t="s">
        <v>258</v>
      </c>
      <c r="C7" s="690">
        <f>Ingresos!B6</f>
        <v>0</v>
      </c>
      <c r="D7" s="533"/>
      <c r="E7" s="533"/>
      <c r="F7" s="476"/>
      <c r="G7" s="476"/>
    </row>
    <row r="8" spans="2:7">
      <c r="B8" s="1127" t="s">
        <v>157</v>
      </c>
      <c r="C8" s="690" t="str">
        <f>Ingresos!B8</f>
        <v>MUNICIPIO DE LA VEGA</v>
      </c>
      <c r="D8" s="533"/>
      <c r="E8" s="533"/>
      <c r="F8" s="533"/>
      <c r="G8" s="533"/>
    </row>
    <row r="9" spans="2:7">
      <c r="B9" s="1128" t="s">
        <v>342</v>
      </c>
      <c r="C9" s="691">
        <f>Ingresos!B10</f>
        <v>2005</v>
      </c>
      <c r="E9" s="476"/>
      <c r="F9" s="535"/>
      <c r="G9" s="476"/>
    </row>
    <row r="10" spans="2:7" ht="15.75" thickBot="1">
      <c r="B10" s="1129" t="s">
        <v>343</v>
      </c>
      <c r="C10" s="692">
        <f>Ingresos!B12</f>
        <v>6</v>
      </c>
      <c r="E10" s="476"/>
      <c r="F10" s="476"/>
      <c r="G10" s="476"/>
    </row>
    <row r="11" spans="2:7" ht="15.75" hidden="1" thickBot="1">
      <c r="B11" s="1129" t="s">
        <v>344</v>
      </c>
      <c r="C11" s="692">
        <f>Ingresos!B14</f>
        <v>0</v>
      </c>
      <c r="D11" s="533"/>
      <c r="E11" s="533"/>
      <c r="F11" s="476"/>
      <c r="G11" s="476"/>
    </row>
    <row r="12" spans="2:7" hidden="1">
      <c r="B12" s="1125"/>
      <c r="E12" s="476"/>
      <c r="F12" s="476"/>
      <c r="G12" s="476"/>
    </row>
    <row r="13" spans="2:7" ht="27.75" hidden="1">
      <c r="B13" s="1130" t="s">
        <v>788</v>
      </c>
      <c r="C13" s="539"/>
      <c r="D13" s="539"/>
    </row>
    <row r="14" spans="2:7" ht="15.75" hidden="1" thickBot="1">
      <c r="B14" s="1125"/>
    </row>
    <row r="15" spans="2:7" hidden="1">
      <c r="B15" s="1127" t="s">
        <v>345</v>
      </c>
      <c r="C15" s="690" t="str">
        <f>Ingresos!B17</f>
        <v>X</v>
      </c>
    </row>
    <row r="16" spans="2:7" hidden="1">
      <c r="B16" s="1128" t="s">
        <v>346</v>
      </c>
      <c r="C16" s="691">
        <f>Ingresos!B18</f>
        <v>0</v>
      </c>
    </row>
    <row r="17" spans="1:17" ht="15.75" hidden="1" thickBot="1">
      <c r="B17" s="1129" t="s">
        <v>347</v>
      </c>
      <c r="C17" s="692">
        <f>Ingresos!B19</f>
        <v>0</v>
      </c>
    </row>
    <row r="18" spans="1:17" ht="15.75" hidden="1" thickBot="1">
      <c r="B18" s="1125"/>
    </row>
    <row r="19" spans="1:17" ht="28.5" hidden="1" thickBot="1">
      <c r="B19" s="1130" t="s">
        <v>50</v>
      </c>
      <c r="C19" s="539" t="str">
        <f>Ingresos!D21</f>
        <v>X</v>
      </c>
      <c r="D19" s="539"/>
      <c r="E19" s="543" t="s">
        <v>793</v>
      </c>
      <c r="F19" s="543"/>
      <c r="G19" s="678"/>
      <c r="H19" s="693">
        <f>Ingresos!I21</f>
        <v>37257</v>
      </c>
    </row>
    <row r="20" spans="1:17" ht="15.75" hidden="1" thickBot="1">
      <c r="B20" s="1130"/>
      <c r="C20" s="539"/>
      <c r="D20" s="539"/>
      <c r="E20" s="539" t="s">
        <v>795</v>
      </c>
      <c r="F20" s="539"/>
      <c r="G20" s="678"/>
      <c r="H20" s="694">
        <f>Ingresos!I22</f>
        <v>42735</v>
      </c>
    </row>
    <row r="21" spans="1:17" ht="15.75" thickBot="1">
      <c r="B21" s="1125"/>
      <c r="C21" s="707" t="e">
        <f>+C26+C48+C58+C66+C74+C83+C121+C122+C123+C124+C125+C126+C127+C128+C129+C34</f>
        <v>#REF!</v>
      </c>
      <c r="D21" s="707" t="e">
        <f t="shared" ref="D21:Q21" si="0">+D26+D48+D58+D66+D74+D83+D121+D122+D123+D124+D125+D126+D127+D128+D129+D34</f>
        <v>#REF!</v>
      </c>
      <c r="E21" s="707" t="e">
        <f t="shared" si="0"/>
        <v>#REF!</v>
      </c>
      <c r="F21" s="707" t="e">
        <f t="shared" si="0"/>
        <v>#REF!</v>
      </c>
      <c r="G21" s="707" t="e">
        <f t="shared" si="0"/>
        <v>#REF!</v>
      </c>
      <c r="H21" s="707" t="e">
        <f t="shared" si="0"/>
        <v>#REF!</v>
      </c>
      <c r="I21" s="707" t="e">
        <f t="shared" si="0"/>
        <v>#REF!</v>
      </c>
      <c r="J21" s="707" t="e">
        <f t="shared" si="0"/>
        <v>#REF!</v>
      </c>
      <c r="K21" s="707" t="e">
        <f t="shared" si="0"/>
        <v>#REF!</v>
      </c>
      <c r="L21" s="707" t="e">
        <f t="shared" si="0"/>
        <v>#REF!</v>
      </c>
      <c r="M21" s="707" t="e">
        <f t="shared" si="0"/>
        <v>#REF!</v>
      </c>
      <c r="N21" s="707" t="e">
        <f t="shared" si="0"/>
        <v>#REF!</v>
      </c>
      <c r="O21" s="707" t="e">
        <f t="shared" si="0"/>
        <v>#REF!</v>
      </c>
      <c r="P21" s="707" t="e">
        <f t="shared" si="0"/>
        <v>#REF!</v>
      </c>
      <c r="Q21" s="707" t="e">
        <f t="shared" si="0"/>
        <v>#REF!</v>
      </c>
    </row>
    <row r="22" spans="1:17" ht="15.75" thickBot="1">
      <c r="B22" s="1124" t="s">
        <v>348</v>
      </c>
      <c r="C22" s="698" t="e">
        <f>+C36+C41+C53+C61+C69+C78+C108+C131+C147+C160</f>
        <v>#REF!</v>
      </c>
      <c r="D22" s="679" t="e">
        <f t="shared" ref="D22:Q22" si="1">+D36+D41+D53+D61+D69+D78+D108+D131+D147+D160</f>
        <v>#REF!</v>
      </c>
      <c r="E22" s="679" t="e">
        <f t="shared" si="1"/>
        <v>#REF!</v>
      </c>
      <c r="F22" s="679" t="e">
        <f t="shared" si="1"/>
        <v>#REF!</v>
      </c>
      <c r="G22" s="679" t="e">
        <f t="shared" si="1"/>
        <v>#REF!</v>
      </c>
      <c r="H22" s="679">
        <f t="shared" si="1"/>
        <v>6083683.2368000001</v>
      </c>
      <c r="I22" s="679">
        <f t="shared" si="1"/>
        <v>6341368.2462720005</v>
      </c>
      <c r="J22" s="679">
        <f t="shared" si="1"/>
        <v>6316809.7281228807</v>
      </c>
      <c r="K22" s="679">
        <f t="shared" si="1"/>
        <v>6569483.0772477956</v>
      </c>
      <c r="L22" s="679">
        <f t="shared" si="1"/>
        <v>6832262.0567857074</v>
      </c>
      <c r="M22" s="679">
        <f t="shared" si="1"/>
        <v>7153552.0378731359</v>
      </c>
      <c r="N22" s="679">
        <f t="shared" si="1"/>
        <v>7439694.1193880625</v>
      </c>
      <c r="O22" s="679">
        <f t="shared" si="1"/>
        <v>7737281.8841635836</v>
      </c>
      <c r="P22" s="679">
        <f t="shared" si="1"/>
        <v>8046773.1595301293</v>
      </c>
      <c r="Q22" s="679" t="e">
        <f t="shared" si="1"/>
        <v>#REF!</v>
      </c>
    </row>
    <row r="23" spans="1:17" ht="45.75" thickBot="1">
      <c r="A23" s="481" t="s">
        <v>349</v>
      </c>
      <c r="B23" s="1131" t="s">
        <v>797</v>
      </c>
      <c r="C23" s="1051" t="str">
        <f>+'Ingresos Proyecciones'!C9</f>
        <v>Escenario Financiero Año 2002</v>
      </c>
      <c r="D23" s="1051" t="str">
        <f>+'Ingresos Proyecciones'!D9</f>
        <v>Escenario Financiero Año 2003</v>
      </c>
      <c r="E23" s="1051" t="str">
        <f>+'Ingresos Proyecciones'!E9</f>
        <v>Escenario Financiero Año 2004</v>
      </c>
      <c r="F23" s="1051" t="str">
        <f>+'Ingresos Proyecciones'!F9</f>
        <v>Escenario Financiero Año 2005</v>
      </c>
      <c r="G23" s="1051" t="str">
        <f>+'Ingresos Proyecciones'!G9</f>
        <v>Escenario Financiero Año 2006</v>
      </c>
      <c r="H23" s="1051" t="str">
        <f>+'Ingresos Proyecciones'!H9</f>
        <v>Escenario Financiero Año 2007</v>
      </c>
      <c r="I23" s="1051" t="str">
        <f>+'Ingresos Proyecciones'!I9</f>
        <v>Escenario Financiero Año 2008</v>
      </c>
      <c r="J23" s="1051" t="str">
        <f>+'Ingresos Proyecciones'!J9</f>
        <v>Escenario Financiero Año 2009</v>
      </c>
      <c r="K23" s="1051" t="str">
        <f>+'Ingresos Proyecciones'!K9</f>
        <v>Escenario Financiero Año 2010</v>
      </c>
      <c r="L23" s="1051" t="str">
        <f>+'Ingresos Proyecciones'!L9</f>
        <v>Escenario Financiero Año 2011</v>
      </c>
      <c r="M23" s="1051" t="str">
        <f>+'Ingresos Proyecciones'!M9</f>
        <v>Escenario Financiero Año 2012</v>
      </c>
      <c r="N23" s="1051" t="str">
        <f>+'Ingresos Proyecciones'!N9</f>
        <v>Escenario Financiero Año 2013</v>
      </c>
      <c r="O23" s="1051" t="str">
        <f>+'Ingresos Proyecciones'!O9</f>
        <v>Escenario Financiero Año 2014</v>
      </c>
      <c r="P23" s="1051" t="str">
        <f>+'Ingresos Proyecciones'!P9</f>
        <v>Escenario Financiero Año 2015</v>
      </c>
      <c r="Q23" s="481" t="e">
        <f>+'Ingresos Proyecciones'!#REF!</f>
        <v>#REF!</v>
      </c>
    </row>
    <row r="24" spans="1:17" ht="19.5" hidden="1" customHeight="1" thickBot="1">
      <c r="A24" s="482"/>
      <c r="B24" s="1132"/>
      <c r="C24" s="1052"/>
      <c r="D24" s="1052"/>
      <c r="E24" s="1052"/>
      <c r="F24" s="1052"/>
      <c r="G24" s="1052"/>
      <c r="H24" s="1052"/>
      <c r="I24" s="1052"/>
      <c r="J24" s="1052"/>
      <c r="K24" s="1052"/>
      <c r="L24" s="1052"/>
      <c r="M24" s="1052"/>
      <c r="N24" s="1052"/>
      <c r="O24" s="1052"/>
      <c r="P24" s="1052"/>
      <c r="Q24" s="482"/>
    </row>
    <row r="25" spans="1:17" s="524" customFormat="1" ht="18.75" customHeight="1">
      <c r="A25" s="551" t="s">
        <v>354</v>
      </c>
      <c r="B25" s="1133" t="s">
        <v>355</v>
      </c>
      <c r="C25" s="1113"/>
      <c r="D25" s="1113"/>
      <c r="E25" s="1113"/>
      <c r="F25" s="1113"/>
      <c r="G25" s="1113"/>
      <c r="H25" s="1113"/>
      <c r="I25" s="1113"/>
      <c r="J25" s="1113"/>
      <c r="K25" s="1113"/>
      <c r="L25" s="1113"/>
      <c r="M25" s="1113"/>
      <c r="N25" s="1113"/>
      <c r="O25" s="1113"/>
      <c r="P25" s="1113"/>
      <c r="Q25" s="785"/>
    </row>
    <row r="26" spans="1:17" s="524" customFormat="1" ht="18.75" customHeight="1">
      <c r="A26" s="551" t="s">
        <v>356</v>
      </c>
      <c r="B26" s="1123" t="s">
        <v>357</v>
      </c>
      <c r="C26" s="1114" t="e">
        <f t="shared" ref="C26:Q26" si="2">+C27-C34+C35</f>
        <v>#REF!</v>
      </c>
      <c r="D26" s="1114" t="e">
        <f t="shared" si="2"/>
        <v>#REF!</v>
      </c>
      <c r="E26" s="1114" t="e">
        <f t="shared" si="2"/>
        <v>#REF!</v>
      </c>
      <c r="F26" s="1114" t="e">
        <f t="shared" si="2"/>
        <v>#REF!</v>
      </c>
      <c r="G26" s="1114" t="e">
        <f t="shared" si="2"/>
        <v>#REF!</v>
      </c>
      <c r="H26" s="1114" t="e">
        <f t="shared" si="2"/>
        <v>#REF!</v>
      </c>
      <c r="I26" s="1114" t="e">
        <f t="shared" si="2"/>
        <v>#REF!</v>
      </c>
      <c r="J26" s="1114" t="e">
        <f t="shared" si="2"/>
        <v>#REF!</v>
      </c>
      <c r="K26" s="1114" t="e">
        <f t="shared" si="2"/>
        <v>#REF!</v>
      </c>
      <c r="L26" s="1114" t="e">
        <f t="shared" si="2"/>
        <v>#REF!</v>
      </c>
      <c r="M26" s="1114" t="e">
        <f t="shared" si="2"/>
        <v>#REF!</v>
      </c>
      <c r="N26" s="1114" t="e">
        <f t="shared" si="2"/>
        <v>#REF!</v>
      </c>
      <c r="O26" s="1114" t="e">
        <f t="shared" si="2"/>
        <v>#REF!</v>
      </c>
      <c r="P26" s="1114" t="e">
        <f t="shared" si="2"/>
        <v>#REF!</v>
      </c>
      <c r="Q26" s="786" t="e">
        <f t="shared" si="2"/>
        <v>#REF!</v>
      </c>
    </row>
    <row r="27" spans="1:17" s="524" customFormat="1" ht="18.75" customHeight="1">
      <c r="A27" s="680" t="str">
        <f>+Ingresos!A29</f>
        <v>111</v>
      </c>
      <c r="B27" s="1123" t="s">
        <v>358</v>
      </c>
      <c r="C27" s="1114" t="e">
        <f>+C28+C29+C30+C31+C32+C33</f>
        <v>#REF!</v>
      </c>
      <c r="D27" s="1114" t="e">
        <f t="shared" ref="D27:Q27" si="3">+D28+D29+D30+D31+D32+D33</f>
        <v>#REF!</v>
      </c>
      <c r="E27" s="1114" t="e">
        <f t="shared" si="3"/>
        <v>#REF!</v>
      </c>
      <c r="F27" s="1114" t="e">
        <f t="shared" si="3"/>
        <v>#REF!</v>
      </c>
      <c r="G27" s="1114" t="e">
        <f t="shared" si="3"/>
        <v>#REF!</v>
      </c>
      <c r="H27" s="1114" t="e">
        <f t="shared" si="3"/>
        <v>#REF!</v>
      </c>
      <c r="I27" s="1114" t="e">
        <f t="shared" si="3"/>
        <v>#REF!</v>
      </c>
      <c r="J27" s="1114" t="e">
        <f t="shared" si="3"/>
        <v>#REF!</v>
      </c>
      <c r="K27" s="1114" t="e">
        <f t="shared" si="3"/>
        <v>#REF!</v>
      </c>
      <c r="L27" s="1114" t="e">
        <f t="shared" si="3"/>
        <v>#REF!</v>
      </c>
      <c r="M27" s="1114" t="e">
        <f t="shared" si="3"/>
        <v>#REF!</v>
      </c>
      <c r="N27" s="1114" t="e">
        <f t="shared" si="3"/>
        <v>#REF!</v>
      </c>
      <c r="O27" s="1114" t="e">
        <f t="shared" si="3"/>
        <v>#REF!</v>
      </c>
      <c r="P27" s="1114" t="e">
        <f t="shared" si="3"/>
        <v>#REF!</v>
      </c>
      <c r="Q27" s="786" t="e">
        <f t="shared" si="3"/>
        <v>#REF!</v>
      </c>
    </row>
    <row r="28" spans="1:17" s="524" customFormat="1" ht="26.25" customHeight="1">
      <c r="A28" s="681" t="s">
        <v>359</v>
      </c>
      <c r="B28" s="1134" t="s">
        <v>360</v>
      </c>
      <c r="C28" s="1115" t="e">
        <f>+'Ley 617'!P11</f>
        <v>#REF!</v>
      </c>
      <c r="D28" s="1115" t="e">
        <f>+'Ley 617'!Q11</f>
        <v>#REF!</v>
      </c>
      <c r="E28" s="1115" t="e">
        <f>+'Ley 617'!R11</f>
        <v>#REF!</v>
      </c>
      <c r="F28" s="1115" t="e">
        <f>+'Ley 617'!S11</f>
        <v>#REF!</v>
      </c>
      <c r="G28" s="1115" t="e">
        <f>+'Ley 617'!T11</f>
        <v>#REF!</v>
      </c>
      <c r="H28" s="1115" t="e">
        <f>+'Ley 617'!U11</f>
        <v>#REF!</v>
      </c>
      <c r="I28" s="1115">
        <f>+'Ley 617'!V11</f>
        <v>89989</v>
      </c>
      <c r="J28" s="1115">
        <f>+'Ley 617'!W11</f>
        <v>93588.56</v>
      </c>
      <c r="K28" s="1115">
        <f>+'Ley 617'!X11</f>
        <v>97332.102400000003</v>
      </c>
      <c r="L28" s="1115">
        <f>+'Ley 617'!Y11</f>
        <v>101225.38649600001</v>
      </c>
      <c r="M28" s="1115">
        <f>+'Ley 617'!Z11</f>
        <v>105274.40195584</v>
      </c>
      <c r="N28" s="1115">
        <f>+'Ley 617'!AA11</f>
        <v>109485.37803407361</v>
      </c>
      <c r="O28" s="1115">
        <f>+'Ley 617'!AB11</f>
        <v>113864.79315543656</v>
      </c>
      <c r="P28" s="1115">
        <f>+'Ley 617'!AC11</f>
        <v>118419.38488165403</v>
      </c>
      <c r="Q28" s="787" t="e">
        <f>+'Ley 617'!#REF!</f>
        <v>#REF!</v>
      </c>
    </row>
    <row r="29" spans="1:17" s="524" customFormat="1" ht="18.75" customHeight="1">
      <c r="A29" s="681" t="s">
        <v>361</v>
      </c>
      <c r="B29" s="1135" t="s">
        <v>819</v>
      </c>
      <c r="C29" s="1115" t="e">
        <f>+'Ley 617'!P12</f>
        <v>#REF!</v>
      </c>
      <c r="D29" s="1115" t="e">
        <f>+'Ley 617'!Q12</f>
        <v>#REF!</v>
      </c>
      <c r="E29" s="1115" t="e">
        <f>+'Ley 617'!R12</f>
        <v>#REF!</v>
      </c>
      <c r="F29" s="1115" t="e">
        <f>+'Ley 617'!S12</f>
        <v>#REF!</v>
      </c>
      <c r="G29" s="1115" t="e">
        <f>+'Ley 617'!T12</f>
        <v>#REF!</v>
      </c>
      <c r="H29" s="1115" t="e">
        <f>+'Ley 617'!U12</f>
        <v>#REF!</v>
      </c>
      <c r="I29" s="1115">
        <f>+'Ley 617'!V12</f>
        <v>2250</v>
      </c>
      <c r="J29" s="1115">
        <f>+'Ley 617'!W12</f>
        <v>2340</v>
      </c>
      <c r="K29" s="1115">
        <f>+'Ley 617'!X12</f>
        <v>2433.6</v>
      </c>
      <c r="L29" s="1115">
        <f>+'Ley 617'!Y12</f>
        <v>2530.944</v>
      </c>
      <c r="M29" s="1115">
        <f>+'Ley 617'!Z12</f>
        <v>2632.1817599999999</v>
      </c>
      <c r="N29" s="1115">
        <f>+'Ley 617'!AA12</f>
        <v>2737.4690304000001</v>
      </c>
      <c r="O29" s="1115">
        <f>+'Ley 617'!AB12</f>
        <v>2846.9677916160003</v>
      </c>
      <c r="P29" s="1115">
        <f>+'Ley 617'!AC12</f>
        <v>2960.8465032806403</v>
      </c>
      <c r="Q29" s="787" t="e">
        <f>+'Ley 617'!#REF!</f>
        <v>#REF!</v>
      </c>
    </row>
    <row r="30" spans="1:17" s="524" customFormat="1" ht="18.75" customHeight="1">
      <c r="A30" s="681" t="s">
        <v>820</v>
      </c>
      <c r="B30" s="1135" t="s">
        <v>821</v>
      </c>
      <c r="C30" s="1115" t="e">
        <f>+'Ley 617'!P13</f>
        <v>#REF!</v>
      </c>
      <c r="D30" s="1115" t="e">
        <f>+'Ley 617'!Q13</f>
        <v>#REF!</v>
      </c>
      <c r="E30" s="1115" t="e">
        <f>+'Ley 617'!R13</f>
        <v>#REF!</v>
      </c>
      <c r="F30" s="1115" t="e">
        <f>+'Ley 617'!S13</f>
        <v>#REF!</v>
      </c>
      <c r="G30" s="1115" t="e">
        <f>+'Ley 617'!T13</f>
        <v>#REF!</v>
      </c>
      <c r="H30" s="1115" t="e">
        <f>+'Ley 617'!U13</f>
        <v>#REF!</v>
      </c>
      <c r="I30" s="1115">
        <f>+'Ley 617'!V13</f>
        <v>65000</v>
      </c>
      <c r="J30" s="1115">
        <f>+'Ley 617'!W13</f>
        <v>67600</v>
      </c>
      <c r="K30" s="1115">
        <f>+'Ley 617'!X13</f>
        <v>70304</v>
      </c>
      <c r="L30" s="1115">
        <f>+'Ley 617'!Y13</f>
        <v>73116.160000000003</v>
      </c>
      <c r="M30" s="1115">
        <f>+'Ley 617'!Z13</f>
        <v>76040.806400000001</v>
      </c>
      <c r="N30" s="1115">
        <f>+'Ley 617'!AA13</f>
        <v>79082.438655999998</v>
      </c>
      <c r="O30" s="1115">
        <f>+'Ley 617'!AB13</f>
        <v>82245.736202240005</v>
      </c>
      <c r="P30" s="1115">
        <f>+'Ley 617'!AC13</f>
        <v>85535.565650329605</v>
      </c>
      <c r="Q30" s="787" t="e">
        <f>+'Ley 617'!#REF!</f>
        <v>#REF!</v>
      </c>
    </row>
    <row r="31" spans="1:17" s="524" customFormat="1" ht="15" hidden="1" customHeight="1">
      <c r="A31" s="681" t="s">
        <v>835</v>
      </c>
      <c r="B31" s="1135" t="s">
        <v>823</v>
      </c>
      <c r="C31" s="1115" t="e">
        <f>'Ley 617'!P14</f>
        <v>#REF!</v>
      </c>
      <c r="D31" s="1115" t="e">
        <f>'Ley 617'!Q14</f>
        <v>#REF!</v>
      </c>
      <c r="E31" s="1115" t="e">
        <f>'Ley 617'!R14</f>
        <v>#REF!</v>
      </c>
      <c r="F31" s="1115" t="e">
        <f>'Ley 617'!S14</f>
        <v>#REF!</v>
      </c>
      <c r="G31" s="1115" t="e">
        <f>'Ley 617'!T14</f>
        <v>#REF!</v>
      </c>
      <c r="H31" s="1115" t="e">
        <f>'Ley 617'!U14</f>
        <v>#REF!</v>
      </c>
      <c r="I31" s="1115">
        <f>'Ley 617'!V14</f>
        <v>0</v>
      </c>
      <c r="J31" s="1115">
        <f>'Ley 617'!W14</f>
        <v>0</v>
      </c>
      <c r="K31" s="1115">
        <f>'Ley 617'!X14</f>
        <v>0</v>
      </c>
      <c r="L31" s="1115">
        <f>'Ley 617'!Y14</f>
        <v>0</v>
      </c>
      <c r="M31" s="1115">
        <f>'Ley 617'!Z14</f>
        <v>12000</v>
      </c>
      <c r="N31" s="1115">
        <f>'Ley 617'!AA14</f>
        <v>12480</v>
      </c>
      <c r="O31" s="1115">
        <f>'Ley 617'!AB14</f>
        <v>12979.2</v>
      </c>
      <c r="P31" s="1115">
        <f>'Ley 617'!AC14</f>
        <v>13498.368</v>
      </c>
      <c r="Q31" s="787" t="e">
        <f>'Ley 617'!#REF!</f>
        <v>#REF!</v>
      </c>
    </row>
    <row r="32" spans="1:17" s="524" customFormat="1" ht="15" hidden="1" customHeight="1">
      <c r="A32" s="560" t="s">
        <v>362</v>
      </c>
      <c r="B32" s="1135" t="s">
        <v>550</v>
      </c>
      <c r="C32" s="1115" t="e">
        <f>+'Ley 617'!#REF!</f>
        <v>#REF!</v>
      </c>
      <c r="D32" s="1115" t="e">
        <f>+'Ley 617'!#REF!</f>
        <v>#REF!</v>
      </c>
      <c r="E32" s="1115" t="e">
        <f>+'Ley 617'!#REF!</f>
        <v>#REF!</v>
      </c>
      <c r="F32" s="1115" t="e">
        <f>+'Ley 617'!#REF!</f>
        <v>#REF!</v>
      </c>
      <c r="G32" s="1115" t="e">
        <f>+'Ley 617'!#REF!</f>
        <v>#REF!</v>
      </c>
      <c r="H32" s="1115" t="e">
        <f>+'Ley 617'!#REF!</f>
        <v>#REF!</v>
      </c>
      <c r="I32" s="1115" t="e">
        <f>+'Ley 617'!#REF!</f>
        <v>#REF!</v>
      </c>
      <c r="J32" s="1115" t="e">
        <f>+'Ley 617'!#REF!</f>
        <v>#REF!</v>
      </c>
      <c r="K32" s="1115" t="e">
        <f>+'Ley 617'!#REF!</f>
        <v>#REF!</v>
      </c>
      <c r="L32" s="1115" t="e">
        <f>+'Ley 617'!#REF!</f>
        <v>#REF!</v>
      </c>
      <c r="M32" s="1115" t="e">
        <f>+'Ley 617'!#REF!</f>
        <v>#REF!</v>
      </c>
      <c r="N32" s="1115" t="e">
        <f>+'Ley 617'!#REF!</f>
        <v>#REF!</v>
      </c>
      <c r="O32" s="1115" t="e">
        <f>+'Ley 617'!#REF!</f>
        <v>#REF!</v>
      </c>
      <c r="P32" s="1115" t="e">
        <f>+'Ley 617'!#REF!</f>
        <v>#REF!</v>
      </c>
      <c r="Q32" s="787" t="e">
        <f>+'Ley 617'!#REF!</f>
        <v>#REF!</v>
      </c>
    </row>
    <row r="33" spans="1:17" s="524" customFormat="1" ht="18.75" customHeight="1">
      <c r="A33" s="560" t="s">
        <v>364</v>
      </c>
      <c r="B33" s="1135" t="s">
        <v>551</v>
      </c>
      <c r="C33" s="1115" t="e">
        <f>+'Ley 617'!P10-'Ley 617'!P11-'Ley 617'!P12-'Ley 617'!P13-'Ley 617'!P14-'Ley 617'!#REF!</f>
        <v>#REF!</v>
      </c>
      <c r="D33" s="1115" t="e">
        <f>+'Ley 617'!Q10-'Ley 617'!Q11-'Ley 617'!Q12-'Ley 617'!Q13-'Ley 617'!Q14-'Ley 617'!#REF!</f>
        <v>#REF!</v>
      </c>
      <c r="E33" s="1115" t="e">
        <f>+'Ley 617'!R10-'Ley 617'!R11-'Ley 617'!R12-'Ley 617'!R13-'Ley 617'!R14-'Ley 617'!#REF!</f>
        <v>#REF!</v>
      </c>
      <c r="F33" s="1115" t="e">
        <f>+'Ley 617'!S10-'Ley 617'!S11-'Ley 617'!S12-'Ley 617'!S13-'Ley 617'!S14-'Ley 617'!#REF!</f>
        <v>#REF!</v>
      </c>
      <c r="G33" s="1115" t="e">
        <f>+'Ley 617'!T10-'Ley 617'!T11-'Ley 617'!T12-'Ley 617'!T13-'Ley 617'!T14-'Ley 617'!#REF!</f>
        <v>#REF!</v>
      </c>
      <c r="H33" s="1115" t="e">
        <f>+'Ley 617'!U10-'Ley 617'!U11-'Ley 617'!U12-'Ley 617'!U13-'Ley 617'!U14-'Ley 617'!#REF!</f>
        <v>#REF!</v>
      </c>
      <c r="I33" s="1115" t="e">
        <f>+'Ley 617'!V10-'Ley 617'!V11-'Ley 617'!V12-'Ley 617'!V13-'Ley 617'!V14-'Ley 617'!#REF!</f>
        <v>#REF!</v>
      </c>
      <c r="J33" s="1115" t="e">
        <f>+'Ley 617'!W10-'Ley 617'!W11-'Ley 617'!W12-'Ley 617'!W13-'Ley 617'!W14-'Ley 617'!#REF!</f>
        <v>#REF!</v>
      </c>
      <c r="K33" s="1115" t="e">
        <f>+'Ley 617'!X10-'Ley 617'!X11-'Ley 617'!X12-'Ley 617'!X13-'Ley 617'!X14-'Ley 617'!#REF!</f>
        <v>#REF!</v>
      </c>
      <c r="L33" s="1115" t="e">
        <f>+'Ley 617'!Y10-'Ley 617'!Y11-'Ley 617'!Y12-'Ley 617'!Y13-'Ley 617'!Y14-'Ley 617'!#REF!</f>
        <v>#REF!</v>
      </c>
      <c r="M33" s="1115" t="e">
        <f>+'Ley 617'!Z10-'Ley 617'!Z11-'Ley 617'!Z12-'Ley 617'!Z13-'Ley 617'!Z14-'Ley 617'!#REF!</f>
        <v>#REF!</v>
      </c>
      <c r="N33" s="1115" t="e">
        <f>+'Ley 617'!AA10-'Ley 617'!AA11-'Ley 617'!AA12-'Ley 617'!AA13-'Ley 617'!AA14-'Ley 617'!#REF!</f>
        <v>#REF!</v>
      </c>
      <c r="O33" s="1115" t="e">
        <f>+'Ley 617'!AB10-'Ley 617'!AB11-'Ley 617'!AB12-'Ley 617'!AB13-'Ley 617'!AB14-'Ley 617'!#REF!</f>
        <v>#REF!</v>
      </c>
      <c r="P33" s="1115" t="e">
        <f>+'Ley 617'!AC10-'Ley 617'!AC11-'Ley 617'!AC12-'Ley 617'!AC13-'Ley 617'!AC14-'Ley 617'!#REF!</f>
        <v>#REF!</v>
      </c>
      <c r="Q33" s="787" t="e">
        <f>+'Ley 617'!#REF!-'Ley 617'!#REF!-'Ley 617'!#REF!-'Ley 617'!#REF!-'Ley 617'!#REF!-'Ley 617'!#REF!</f>
        <v>#REF!</v>
      </c>
    </row>
    <row r="34" spans="1:17" s="524" customFormat="1" ht="18.75" customHeight="1">
      <c r="A34" s="551" t="s">
        <v>367</v>
      </c>
      <c r="B34" s="1135" t="s">
        <v>368</v>
      </c>
      <c r="C34" s="1115" t="e">
        <f>((SUM(C28:C33)+C35)*'Ingresos Proyecciones'!C157)+(SUM(C28:C33)*'Ingresos Proyecciones'!C158)+('Fuentes y Usos Proyecciones'!C28*'Ingresos Proyecciones'!C159)+('Fuentes y Usos Proyecciones'!C29*'Ingresos Proyecciones'!C160)+('Fuentes y Usos Proyecciones'!C30*'Ingresos Proyecciones'!C161)+('Fuentes y Usos Proyecciones'!C31*'Ingresos Proyecciones'!C162)+('Fuentes y Usos Proyecciones'!C32*'Ingresos Proyecciones'!C163)+('Fuentes y Usos Proyecciones'!C33*'Ingresos Proyecciones'!C164)+'Ingresos Proyecciones'!C165+'Ingresos Proyecciones'!C166</f>
        <v>#REF!</v>
      </c>
      <c r="D34" s="1115" t="e">
        <f>((SUM(D28:D33)+D35)*'Ingresos Proyecciones'!D157)+(SUM(D28:D33)*'Ingresos Proyecciones'!D158)+('Fuentes y Usos Proyecciones'!D28*'Ingresos Proyecciones'!D159)+('Fuentes y Usos Proyecciones'!D29*'Ingresos Proyecciones'!D160)+('Fuentes y Usos Proyecciones'!D30*'Ingresos Proyecciones'!D161)+('Fuentes y Usos Proyecciones'!D31*'Ingresos Proyecciones'!D162)+('Fuentes y Usos Proyecciones'!D32*'Ingresos Proyecciones'!D163)+('Fuentes y Usos Proyecciones'!D33*'Ingresos Proyecciones'!D164)+'Ingresos Proyecciones'!D165+'Ingresos Proyecciones'!D166</f>
        <v>#REF!</v>
      </c>
      <c r="E34" s="1115" t="e">
        <f>((SUM(E28:E33)+E35)*'Ingresos Proyecciones'!E157)+(SUM(E28:E33)*'Ingresos Proyecciones'!E158)+('Fuentes y Usos Proyecciones'!E28*'Ingresos Proyecciones'!E159)+('Fuentes y Usos Proyecciones'!E29*'Ingresos Proyecciones'!E160)+('Fuentes y Usos Proyecciones'!E30*'Ingresos Proyecciones'!E161)+('Fuentes y Usos Proyecciones'!E31*'Ingresos Proyecciones'!E162)+('Fuentes y Usos Proyecciones'!E32*'Ingresos Proyecciones'!E163)+('Fuentes y Usos Proyecciones'!E33*'Ingresos Proyecciones'!E164)+'Ingresos Proyecciones'!E165+'Ingresos Proyecciones'!E166</f>
        <v>#REF!</v>
      </c>
      <c r="F34" s="1115" t="e">
        <f>((SUM(F28:F33)+F35)*'Ingresos Proyecciones'!F157)+(SUM(F28:F33)*'Ingresos Proyecciones'!F158)+('Fuentes y Usos Proyecciones'!F28*'Ingresos Proyecciones'!F159)+('Fuentes y Usos Proyecciones'!F29*'Ingresos Proyecciones'!F160)+('Fuentes y Usos Proyecciones'!F30*'Ingresos Proyecciones'!F161)+('Fuentes y Usos Proyecciones'!F31*'Ingresos Proyecciones'!F162)+('Fuentes y Usos Proyecciones'!F32*'Ingresos Proyecciones'!F163)+('Fuentes y Usos Proyecciones'!F33*'Ingresos Proyecciones'!F164)+'Ingresos Proyecciones'!F165+'Ingresos Proyecciones'!F166</f>
        <v>#REF!</v>
      </c>
      <c r="G34" s="1115" t="e">
        <f>((SUM(G28:G33)+G35)*'Ingresos Proyecciones'!G157)+(SUM(G28:G33)*'Ingresos Proyecciones'!G158)+('Fuentes y Usos Proyecciones'!G28*'Ingresos Proyecciones'!G159)+('Fuentes y Usos Proyecciones'!G29*'Ingresos Proyecciones'!G160)+('Fuentes y Usos Proyecciones'!G30*'Ingresos Proyecciones'!G161)+('Fuentes y Usos Proyecciones'!G31*'Ingresos Proyecciones'!G162)+('Fuentes y Usos Proyecciones'!G32*'Ingresos Proyecciones'!G163)+('Fuentes y Usos Proyecciones'!G33*'Ingresos Proyecciones'!G164)+'Ingresos Proyecciones'!G165+'Ingresos Proyecciones'!G166</f>
        <v>#REF!</v>
      </c>
      <c r="H34" s="1115" t="e">
        <f>((SUM(H28:H33)+H35)*'Ingresos Proyecciones'!H157)+(SUM(H28:H33)*'Ingresos Proyecciones'!H158)+('Fuentes y Usos Proyecciones'!H28*'Ingresos Proyecciones'!H159)+('Fuentes y Usos Proyecciones'!H29*'Ingresos Proyecciones'!H160)+('Fuentes y Usos Proyecciones'!H30*'Ingresos Proyecciones'!H161)+('Fuentes y Usos Proyecciones'!H31*'Ingresos Proyecciones'!H162)+('Fuentes y Usos Proyecciones'!H32*'Ingresos Proyecciones'!H163)+('Fuentes y Usos Proyecciones'!H33*'Ingresos Proyecciones'!H164)+'Ingresos Proyecciones'!H165+'Ingresos Proyecciones'!H166</f>
        <v>#REF!</v>
      </c>
      <c r="I34" s="1115" t="e">
        <f>((SUM(I28:I33)+I35)*'Ingresos Proyecciones'!I157)+(SUM(I28:I33)*'Ingresos Proyecciones'!I158)+('Fuentes y Usos Proyecciones'!I28*'Ingresos Proyecciones'!I159)+('Fuentes y Usos Proyecciones'!I29*'Ingresos Proyecciones'!I160)+('Fuentes y Usos Proyecciones'!I30*'Ingresos Proyecciones'!I161)+('Fuentes y Usos Proyecciones'!I31*'Ingresos Proyecciones'!I162)+('Fuentes y Usos Proyecciones'!I32*'Ingresos Proyecciones'!I163)+('Fuentes y Usos Proyecciones'!I33*'Ingresos Proyecciones'!I164)+'Ingresos Proyecciones'!I165+'Ingresos Proyecciones'!I166</f>
        <v>#REF!</v>
      </c>
      <c r="J34" s="1115" t="e">
        <f>((SUM(J28:J33)+J35)*'Ingresos Proyecciones'!J157)+(SUM(J28:J33)*'Ingresos Proyecciones'!J158)+('Fuentes y Usos Proyecciones'!J28*'Ingresos Proyecciones'!J159)+('Fuentes y Usos Proyecciones'!J29*'Ingresos Proyecciones'!J160)+('Fuentes y Usos Proyecciones'!J30*'Ingresos Proyecciones'!J161)+('Fuentes y Usos Proyecciones'!J31*'Ingresos Proyecciones'!J162)+('Fuentes y Usos Proyecciones'!J32*'Ingresos Proyecciones'!J163)+('Fuentes y Usos Proyecciones'!J33*'Ingresos Proyecciones'!J164)+'Ingresos Proyecciones'!J165+'Ingresos Proyecciones'!J166</f>
        <v>#REF!</v>
      </c>
      <c r="K34" s="1115" t="e">
        <f>((SUM(K28:K33)+K35)*'Ingresos Proyecciones'!K157)+(SUM(K28:K33)*'Ingresos Proyecciones'!K158)+('Fuentes y Usos Proyecciones'!K28*'Ingresos Proyecciones'!K159)+('Fuentes y Usos Proyecciones'!K29*'Ingresos Proyecciones'!K160)+('Fuentes y Usos Proyecciones'!K30*'Ingresos Proyecciones'!K161)+('Fuentes y Usos Proyecciones'!K31*'Ingresos Proyecciones'!K162)+('Fuentes y Usos Proyecciones'!K32*'Ingresos Proyecciones'!K163)+('Fuentes y Usos Proyecciones'!K33*'Ingresos Proyecciones'!K164)+'Ingresos Proyecciones'!K165+'Ingresos Proyecciones'!K166</f>
        <v>#REF!</v>
      </c>
      <c r="L34" s="1115" t="e">
        <f>((SUM(L28:L33)+L35)*'Ingresos Proyecciones'!L157)+(SUM(L28:L33)*'Ingresos Proyecciones'!L158)+('Fuentes y Usos Proyecciones'!L28*'Ingresos Proyecciones'!L159)+('Fuentes y Usos Proyecciones'!L29*'Ingresos Proyecciones'!L160)+('Fuentes y Usos Proyecciones'!L30*'Ingresos Proyecciones'!L161)+('Fuentes y Usos Proyecciones'!L31*'Ingresos Proyecciones'!L162)+('Fuentes y Usos Proyecciones'!L32*'Ingresos Proyecciones'!L163)+('Fuentes y Usos Proyecciones'!L33*'Ingresos Proyecciones'!L164)+'Ingresos Proyecciones'!L165+'Ingresos Proyecciones'!L166</f>
        <v>#REF!</v>
      </c>
      <c r="M34" s="1115" t="e">
        <f>((SUM(M28:M33)+M35)*'Ingresos Proyecciones'!M157)+(SUM(M28:M33)*'Ingresos Proyecciones'!M158)+('Fuentes y Usos Proyecciones'!M28*'Ingresos Proyecciones'!M159)+('Fuentes y Usos Proyecciones'!M29*'Ingresos Proyecciones'!M160)+('Fuentes y Usos Proyecciones'!M30*'Ingresos Proyecciones'!M161)+('Fuentes y Usos Proyecciones'!M31*'Ingresos Proyecciones'!M162)+('Fuentes y Usos Proyecciones'!M32*'Ingresos Proyecciones'!M163)+('Fuentes y Usos Proyecciones'!M33*'Ingresos Proyecciones'!M164)+'Ingresos Proyecciones'!M165+'Ingresos Proyecciones'!M166</f>
        <v>#REF!</v>
      </c>
      <c r="N34" s="1115" t="e">
        <f>((SUM(N28:N33)+N35)*'Ingresos Proyecciones'!N157)+(SUM(N28:N33)*'Ingresos Proyecciones'!N158)+('Fuentes y Usos Proyecciones'!N28*'Ingresos Proyecciones'!N159)+('Fuentes y Usos Proyecciones'!N29*'Ingresos Proyecciones'!N160)+('Fuentes y Usos Proyecciones'!N30*'Ingresos Proyecciones'!N161)+('Fuentes y Usos Proyecciones'!N31*'Ingresos Proyecciones'!N162)+('Fuentes y Usos Proyecciones'!N32*'Ingresos Proyecciones'!N163)+('Fuentes y Usos Proyecciones'!N33*'Ingresos Proyecciones'!N164)+'Ingresos Proyecciones'!N165+'Ingresos Proyecciones'!N166</f>
        <v>#REF!</v>
      </c>
      <c r="O34" s="1115" t="e">
        <f>((SUM(O28:O33)+O35)*'Ingresos Proyecciones'!O157)+(SUM(O28:O33)*'Ingresos Proyecciones'!O158)+('Fuentes y Usos Proyecciones'!O28*'Ingresos Proyecciones'!O159)+('Fuentes y Usos Proyecciones'!O29*'Ingresos Proyecciones'!O160)+('Fuentes y Usos Proyecciones'!O30*'Ingresos Proyecciones'!O161)+('Fuentes y Usos Proyecciones'!O31*'Ingresos Proyecciones'!O162)+('Fuentes y Usos Proyecciones'!O32*'Ingresos Proyecciones'!O163)+('Fuentes y Usos Proyecciones'!O33*'Ingresos Proyecciones'!O164)+'Ingresos Proyecciones'!O165+'Ingresos Proyecciones'!O166</f>
        <v>#REF!</v>
      </c>
      <c r="P34" s="1115" t="e">
        <f>((SUM(P28:P33)+P35)*'Ingresos Proyecciones'!P157)+(SUM(P28:P33)*'Ingresos Proyecciones'!P158)+('Fuentes y Usos Proyecciones'!P28*'Ingresos Proyecciones'!P159)+('Fuentes y Usos Proyecciones'!P29*'Ingresos Proyecciones'!P160)+('Fuentes y Usos Proyecciones'!P30*'Ingresos Proyecciones'!P161)+('Fuentes y Usos Proyecciones'!P31*'Ingresos Proyecciones'!P162)+('Fuentes y Usos Proyecciones'!P32*'Ingresos Proyecciones'!P163)+('Fuentes y Usos Proyecciones'!P33*'Ingresos Proyecciones'!P164)+'Ingresos Proyecciones'!P165+'Ingresos Proyecciones'!P166</f>
        <v>#REF!</v>
      </c>
      <c r="Q34" s="792" t="e">
        <f>((SUM(Q28:Q33)+Q35)*'Ingresos Proyecciones'!#REF!)+(SUM(Q28:Q33)*'Ingresos Proyecciones'!#REF!)+('Fuentes y Usos Proyecciones'!Q28*'Ingresos Proyecciones'!#REF!)+('Fuentes y Usos Proyecciones'!Q29*'Ingresos Proyecciones'!#REF!)+('Fuentes y Usos Proyecciones'!Q30*'Ingresos Proyecciones'!#REF!)+('Fuentes y Usos Proyecciones'!Q31*'Ingresos Proyecciones'!#REF!)+('Fuentes y Usos Proyecciones'!Q32*'Ingresos Proyecciones'!#REF!)+('Fuentes y Usos Proyecciones'!Q33*'Ingresos Proyecciones'!#REF!)+'Ingresos Proyecciones'!#REF!+'Ingresos Proyecciones'!#REF!</f>
        <v>#REF!</v>
      </c>
    </row>
    <row r="35" spans="1:17" s="682" customFormat="1" ht="18.75" customHeight="1">
      <c r="A35" s="680" t="str">
        <f>+Ingresos!A50</f>
        <v>112</v>
      </c>
      <c r="B35" s="1123" t="s">
        <v>369</v>
      </c>
      <c r="C35" s="1114" t="e">
        <f>+'Ley 617'!P25</f>
        <v>#REF!</v>
      </c>
      <c r="D35" s="1114" t="e">
        <f>+'Ley 617'!Q25</f>
        <v>#REF!</v>
      </c>
      <c r="E35" s="1114" t="e">
        <f>+'Ley 617'!R25</f>
        <v>#REF!</v>
      </c>
      <c r="F35" s="1114" t="e">
        <f>+'Ley 617'!S25</f>
        <v>#REF!</v>
      </c>
      <c r="G35" s="1114" t="e">
        <f>+'Ley 617'!T25</f>
        <v>#REF!</v>
      </c>
      <c r="H35" s="1114" t="e">
        <f>+'Ley 617'!U25</f>
        <v>#REF!</v>
      </c>
      <c r="I35" s="1114">
        <f>+'Ley 617'!V25</f>
        <v>693323</v>
      </c>
      <c r="J35" s="1114">
        <f>+'Ley 617'!W25</f>
        <v>582616.12</v>
      </c>
      <c r="K35" s="1114">
        <f>+'Ley 617'!X25</f>
        <v>605920.76480000012</v>
      </c>
      <c r="L35" s="1114">
        <f>+'Ley 617'!Y25</f>
        <v>630157.59539200016</v>
      </c>
      <c r="M35" s="1114">
        <f>+'Ley 617'!Z25</f>
        <v>655363.89920768014</v>
      </c>
      <c r="N35" s="1114">
        <f>+'Ley 617'!AA25</f>
        <v>681578.45517598733</v>
      </c>
      <c r="O35" s="1114">
        <f>+'Ley 617'!AB25</f>
        <v>708841.59338302689</v>
      </c>
      <c r="P35" s="1114">
        <f>+'Ley 617'!AC25</f>
        <v>737195.25711834803</v>
      </c>
      <c r="Q35" s="786" t="e">
        <f>+'Ley 617'!#REF!</f>
        <v>#REF!</v>
      </c>
    </row>
    <row r="36" spans="1:17" s="524" customFormat="1" ht="26.25" customHeight="1">
      <c r="A36" s="551" t="s">
        <v>370</v>
      </c>
      <c r="B36" s="1123" t="s">
        <v>371</v>
      </c>
      <c r="C36" s="1114">
        <f>SUM(C37:C40)</f>
        <v>0</v>
      </c>
      <c r="D36" s="1114">
        <f>SUM(D37:D40)</f>
        <v>0</v>
      </c>
      <c r="E36" s="1114">
        <f t="shared" ref="E36:Q36" si="4">SUM(E37:E40)</f>
        <v>0</v>
      </c>
      <c r="F36" s="1114">
        <f t="shared" si="4"/>
        <v>621152</v>
      </c>
      <c r="G36" s="1114">
        <f t="shared" si="4"/>
        <v>673079.08000000007</v>
      </c>
      <c r="H36" s="1114">
        <f t="shared" si="4"/>
        <v>512963</v>
      </c>
      <c r="I36" s="1114">
        <f t="shared" si="4"/>
        <v>592522</v>
      </c>
      <c r="J36" s="1114">
        <f t="shared" si="4"/>
        <v>453619.8</v>
      </c>
      <c r="K36" s="1114">
        <f t="shared" si="4"/>
        <v>470725.55200000003</v>
      </c>
      <c r="L36" s="1114">
        <f t="shared" si="4"/>
        <v>471096</v>
      </c>
      <c r="M36" s="1114">
        <f t="shared" si="4"/>
        <v>508539.04</v>
      </c>
      <c r="N36" s="1114">
        <f t="shared" si="4"/>
        <v>528880.60159999994</v>
      </c>
      <c r="O36" s="1114">
        <f t="shared" si="4"/>
        <v>550035.825664</v>
      </c>
      <c r="P36" s="1114">
        <f t="shared" si="4"/>
        <v>572037.25869056</v>
      </c>
      <c r="Q36" s="786" t="e">
        <f t="shared" si="4"/>
        <v>#REF!</v>
      </c>
    </row>
    <row r="37" spans="1:17" s="524" customFormat="1" ht="18.75" customHeight="1">
      <c r="A37" s="680" t="str">
        <f>+Gastos!A27</f>
        <v>211</v>
      </c>
      <c r="B37" s="1135" t="s">
        <v>372</v>
      </c>
      <c r="C37" s="1115">
        <f>+'Ley 617'!P71</f>
        <v>0</v>
      </c>
      <c r="D37" s="1115">
        <f>+'Ley 617'!Q71</f>
        <v>0</v>
      </c>
      <c r="E37" s="1115">
        <f>+'Ley 617'!R71</f>
        <v>0</v>
      </c>
      <c r="F37" s="1115">
        <f>+'Ley 617'!S71</f>
        <v>292139</v>
      </c>
      <c r="G37" s="1115">
        <f>+'Ley 617'!T71</f>
        <v>303824.56</v>
      </c>
      <c r="H37" s="1115">
        <f>+'Ley 617'!U71</f>
        <v>248511</v>
      </c>
      <c r="I37" s="1115">
        <f>+'Ley 617'!V71</f>
        <v>382218</v>
      </c>
      <c r="J37" s="1115">
        <f>+'Ley 617'!W71</f>
        <v>242151</v>
      </c>
      <c r="K37" s="1115">
        <f>+'Ley 617'!X71</f>
        <v>250798</v>
      </c>
      <c r="L37" s="1115">
        <f>+'Ley 617'!Y71</f>
        <v>302601</v>
      </c>
      <c r="M37" s="1115">
        <f>+'Ley 617'!Z71</f>
        <v>333304.24</v>
      </c>
      <c r="N37" s="1115">
        <f>+'Ley 617'!AA71</f>
        <v>346636.40959999996</v>
      </c>
      <c r="O37" s="1115">
        <f>+'Ley 617'!AB71</f>
        <v>360501.86598400003</v>
      </c>
      <c r="P37" s="1115">
        <f>+'Ley 617'!AC71</f>
        <v>374921.94062336005</v>
      </c>
      <c r="Q37" s="787" t="e">
        <f>+'Ley 617'!#REF!</f>
        <v>#REF!</v>
      </c>
    </row>
    <row r="38" spans="1:17" s="524" customFormat="1" ht="18.75" customHeight="1">
      <c r="A38" s="680" t="str">
        <f>+Gastos!A42</f>
        <v>212</v>
      </c>
      <c r="B38" s="1135" t="s">
        <v>373</v>
      </c>
      <c r="C38" s="1115">
        <f>+'Ley 617'!P72</f>
        <v>0</v>
      </c>
      <c r="D38" s="1115">
        <f>+'Ley 617'!Q72</f>
        <v>0</v>
      </c>
      <c r="E38" s="1115">
        <f>+'Ley 617'!R72</f>
        <v>0</v>
      </c>
      <c r="F38" s="1115">
        <f>+'Ley 617'!S72</f>
        <v>207300</v>
      </c>
      <c r="G38" s="1115">
        <f>+'Ley 617'!T72</f>
        <v>209393</v>
      </c>
      <c r="H38" s="1115">
        <f>+'Ley 617'!U72</f>
        <v>112000</v>
      </c>
      <c r="I38" s="1115">
        <f>+'Ley 617'!V72</f>
        <v>93192</v>
      </c>
      <c r="J38" s="1115">
        <f>+'Ley 617'!W72</f>
        <v>93192</v>
      </c>
      <c r="K38" s="1115">
        <f>+'Ley 617'!X72</f>
        <v>96919.679999999993</v>
      </c>
      <c r="L38" s="1115">
        <f>+'Ley 617'!Y72</f>
        <v>91500</v>
      </c>
      <c r="M38" s="1115">
        <f>+'Ley 617'!Z72</f>
        <v>95160</v>
      </c>
      <c r="N38" s="1115">
        <f>+'Ley 617'!AA72</f>
        <v>98966.399999999994</v>
      </c>
      <c r="O38" s="1115">
        <f>+'Ley 617'!AB72</f>
        <v>102925.056</v>
      </c>
      <c r="P38" s="1115">
        <f>+'Ley 617'!AC72</f>
        <v>107042.05824</v>
      </c>
      <c r="Q38" s="787" t="e">
        <f>+'Ley 617'!#REF!</f>
        <v>#REF!</v>
      </c>
    </row>
    <row r="39" spans="1:17" s="524" customFormat="1" ht="18.75" customHeight="1">
      <c r="A39" s="680" t="str">
        <f>+Gastos!A47</f>
        <v>21301</v>
      </c>
      <c r="B39" s="1135" t="s">
        <v>374</v>
      </c>
      <c r="C39" s="1115">
        <f>+'Ley 617'!P73</f>
        <v>0</v>
      </c>
      <c r="D39" s="1115">
        <f>+'Ley 617'!Q73</f>
        <v>0</v>
      </c>
      <c r="E39" s="1115">
        <f>+'Ley 617'!R73</f>
        <v>0</v>
      </c>
      <c r="F39" s="1115">
        <f>+'Ley 617'!S73</f>
        <v>121713</v>
      </c>
      <c r="G39" s="1115">
        <f>+'Ley 617'!T73</f>
        <v>159861.52000000002</v>
      </c>
      <c r="H39" s="1115">
        <f>+'Ley 617'!U73</f>
        <v>152452</v>
      </c>
      <c r="I39" s="1115">
        <f>+'Ley 617'!V73</f>
        <v>117112</v>
      </c>
      <c r="J39" s="1115">
        <f>+'Ley 617'!W73</f>
        <v>118276.8</v>
      </c>
      <c r="K39" s="1115">
        <f>+'Ley 617'!X73</f>
        <v>123007.872</v>
      </c>
      <c r="L39" s="1115">
        <f>+'Ley 617'!Y73</f>
        <v>76995</v>
      </c>
      <c r="M39" s="1115">
        <f>+'Ley 617'!Z73</f>
        <v>80074.8</v>
      </c>
      <c r="N39" s="1115">
        <f>+'Ley 617'!AA73</f>
        <v>83277.792000000016</v>
      </c>
      <c r="O39" s="1115">
        <f>+'Ley 617'!AB73</f>
        <v>86608.903680000018</v>
      </c>
      <c r="P39" s="1115">
        <f>+'Ley 617'!AC73</f>
        <v>90073.259827200003</v>
      </c>
      <c r="Q39" s="787" t="e">
        <f>+'Ley 617'!#REF!</f>
        <v>#REF!</v>
      </c>
    </row>
    <row r="40" spans="1:17" s="524" customFormat="1" ht="18.75" customHeight="1">
      <c r="A40" s="680" t="str">
        <f>+Gastos!A71</f>
        <v>217</v>
      </c>
      <c r="B40" s="1135" t="s">
        <v>375</v>
      </c>
      <c r="C40" s="1115">
        <f>+'Ley 617'!P76</f>
        <v>0</v>
      </c>
      <c r="D40" s="1115">
        <f>+'Ley 617'!Q76</f>
        <v>0</v>
      </c>
      <c r="E40" s="1115">
        <f>+'Ley 617'!R76</f>
        <v>0</v>
      </c>
      <c r="F40" s="1115">
        <f>+'Ley 617'!S76</f>
        <v>0</v>
      </c>
      <c r="G40" s="1115">
        <f>+'Ley 617'!T76</f>
        <v>0</v>
      </c>
      <c r="H40" s="1115">
        <f>+'Ley 617'!U76</f>
        <v>0</v>
      </c>
      <c r="I40" s="1115">
        <f>+'Ley 617'!V76</f>
        <v>0</v>
      </c>
      <c r="J40" s="1115">
        <f>+'Ley 617'!W76</f>
        <v>0</v>
      </c>
      <c r="K40" s="1115">
        <f>+'Ley 617'!X76</f>
        <v>0</v>
      </c>
      <c r="L40" s="1115">
        <f>+'Ley 617'!Y76</f>
        <v>0</v>
      </c>
      <c r="M40" s="1115">
        <f>+'Ley 617'!Z76</f>
        <v>0</v>
      </c>
      <c r="N40" s="1115">
        <f>+'Ley 617'!AA76</f>
        <v>0</v>
      </c>
      <c r="O40" s="1115">
        <f>+'Ley 617'!AB76</f>
        <v>0</v>
      </c>
      <c r="P40" s="1115">
        <f>+'Ley 617'!AC76</f>
        <v>0</v>
      </c>
      <c r="Q40" s="787" t="e">
        <f>+'Ley 617'!#REF!</f>
        <v>#REF!</v>
      </c>
    </row>
    <row r="41" spans="1:17" s="524" customFormat="1" ht="18.75" customHeight="1">
      <c r="A41" s="551" t="s">
        <v>376</v>
      </c>
      <c r="B41" s="1123" t="s">
        <v>377</v>
      </c>
      <c r="C41" s="1114">
        <f>SUM(C42:C44)</f>
        <v>0</v>
      </c>
      <c r="D41" s="1114">
        <f>SUM(D42:D44)</f>
        <v>0</v>
      </c>
      <c r="E41" s="1114">
        <f t="shared" ref="E41:Q41" si="5">SUM(E42:E44)</f>
        <v>0</v>
      </c>
      <c r="F41" s="1114">
        <f t="shared" si="5"/>
        <v>131673</v>
      </c>
      <c r="G41" s="1114">
        <f t="shared" si="5"/>
        <v>143138</v>
      </c>
      <c r="H41" s="1114">
        <f t="shared" si="5"/>
        <v>129470</v>
      </c>
      <c r="I41" s="1114">
        <f t="shared" si="5"/>
        <v>157103</v>
      </c>
      <c r="J41" s="1114">
        <f t="shared" si="5"/>
        <v>163387.12</v>
      </c>
      <c r="K41" s="1114">
        <f t="shared" si="5"/>
        <v>169922.6048</v>
      </c>
      <c r="L41" s="1114">
        <f t="shared" si="5"/>
        <v>195178.02752</v>
      </c>
      <c r="M41" s="1114">
        <f t="shared" si="5"/>
        <v>202985.1486208</v>
      </c>
      <c r="N41" s="1114">
        <f t="shared" si="5"/>
        <v>211104.55456563202</v>
      </c>
      <c r="O41" s="1114">
        <f t="shared" si="5"/>
        <v>219548.7367482573</v>
      </c>
      <c r="P41" s="1114">
        <f t="shared" si="5"/>
        <v>228330.68621818762</v>
      </c>
      <c r="Q41" s="786" t="e">
        <f t="shared" si="5"/>
        <v>#REF!</v>
      </c>
    </row>
    <row r="42" spans="1:17" s="524" customFormat="1" ht="18.75" customHeight="1">
      <c r="A42" s="680" t="str">
        <f>+Gastos!A225</f>
        <v>242</v>
      </c>
      <c r="B42" s="1135" t="s">
        <v>378</v>
      </c>
      <c r="C42" s="1115">
        <f>+'Gastos Proyecciones'!C188</f>
        <v>0</v>
      </c>
      <c r="D42" s="1115">
        <f>+'Gastos Proyecciones'!D188</f>
        <v>0</v>
      </c>
      <c r="E42" s="1115">
        <f>+'Gastos Proyecciones'!E188</f>
        <v>0</v>
      </c>
      <c r="F42" s="1115">
        <f>+'Gastos Proyecciones'!F188</f>
        <v>87342</v>
      </c>
      <c r="G42" s="1115">
        <f>+'Gastos Proyecciones'!G188</f>
        <v>99313</v>
      </c>
      <c r="H42" s="1115">
        <f>+'Gastos Proyecciones'!H188</f>
        <v>81680</v>
      </c>
      <c r="I42" s="1115">
        <f>+'Gastos Proyecciones'!I188</f>
        <v>92048</v>
      </c>
      <c r="J42" s="1115">
        <f>+'Gastos Proyecciones'!J188</f>
        <v>95729.919999999998</v>
      </c>
      <c r="K42" s="1115">
        <f>+'Gastos Proyecciones'!K188</f>
        <v>99559.116800000003</v>
      </c>
      <c r="L42" s="1115">
        <f>+'Gastos Proyecciones'!L188</f>
        <v>122000</v>
      </c>
      <c r="M42" s="1115">
        <f>+'Gastos Proyecciones'!M188</f>
        <v>126880</v>
      </c>
      <c r="N42" s="1115">
        <f>+'Gastos Proyecciones'!N188</f>
        <v>131955.20000000001</v>
      </c>
      <c r="O42" s="1115">
        <f>+'Gastos Proyecciones'!O188</f>
        <v>137233.40800000002</v>
      </c>
      <c r="P42" s="1115">
        <f>+'Gastos Proyecciones'!P188</f>
        <v>142722.74432000003</v>
      </c>
      <c r="Q42" s="787" t="e">
        <f>+'Gastos Proyecciones'!#REF!</f>
        <v>#REF!</v>
      </c>
    </row>
    <row r="43" spans="1:17" s="524" customFormat="1" ht="18.75" customHeight="1">
      <c r="A43" s="680" t="str">
        <f>+Gastos!A226</f>
        <v>243</v>
      </c>
      <c r="B43" s="1135" t="s">
        <v>379</v>
      </c>
      <c r="C43" s="1115">
        <f>+'Gastos Proyecciones'!C189</f>
        <v>0</v>
      </c>
      <c r="D43" s="1115">
        <f>+'Gastos Proyecciones'!D189</f>
        <v>0</v>
      </c>
      <c r="E43" s="1115">
        <f>+'Gastos Proyecciones'!E189</f>
        <v>0</v>
      </c>
      <c r="F43" s="1115">
        <f>+'Gastos Proyecciones'!F189</f>
        <v>0</v>
      </c>
      <c r="G43" s="1115">
        <f>+'Gastos Proyecciones'!G189</f>
        <v>0</v>
      </c>
      <c r="H43" s="1115">
        <f>+'Gastos Proyecciones'!H189</f>
        <v>0</v>
      </c>
      <c r="I43" s="1115">
        <f>+'Gastos Proyecciones'!I189</f>
        <v>0</v>
      </c>
      <c r="J43" s="1115">
        <f>+'Gastos Proyecciones'!J189</f>
        <v>0</v>
      </c>
      <c r="K43" s="1115">
        <f>+'Gastos Proyecciones'!K189</f>
        <v>0</v>
      </c>
      <c r="L43" s="1115">
        <f>+'Gastos Proyecciones'!L189</f>
        <v>0</v>
      </c>
      <c r="M43" s="1115">
        <f>+'Gastos Proyecciones'!M189</f>
        <v>0</v>
      </c>
      <c r="N43" s="1115">
        <f>+'Gastos Proyecciones'!N189</f>
        <v>0</v>
      </c>
      <c r="O43" s="1115">
        <f>+'Gastos Proyecciones'!O189</f>
        <v>0</v>
      </c>
      <c r="P43" s="1115">
        <f>+'Gastos Proyecciones'!P189</f>
        <v>0</v>
      </c>
      <c r="Q43" s="787" t="e">
        <f>+'Gastos Proyecciones'!#REF!</f>
        <v>#REF!</v>
      </c>
    </row>
    <row r="44" spans="1:17" s="524" customFormat="1" ht="18.75" customHeight="1">
      <c r="A44" s="680" t="str">
        <f>+Gastos!A227</f>
        <v>244</v>
      </c>
      <c r="B44" s="1135" t="s">
        <v>380</v>
      </c>
      <c r="C44" s="1115">
        <f>+'Gastos Proyecciones'!C190</f>
        <v>0</v>
      </c>
      <c r="D44" s="1115">
        <f>+'Gastos Proyecciones'!D190</f>
        <v>0</v>
      </c>
      <c r="E44" s="1115">
        <f>+'Gastos Proyecciones'!E190</f>
        <v>0</v>
      </c>
      <c r="F44" s="1115">
        <f>+'Gastos Proyecciones'!F190</f>
        <v>44331</v>
      </c>
      <c r="G44" s="1115">
        <f>+'Gastos Proyecciones'!G190</f>
        <v>43825</v>
      </c>
      <c r="H44" s="1115">
        <f>+'Gastos Proyecciones'!H190</f>
        <v>47790</v>
      </c>
      <c r="I44" s="1115">
        <f>+'Gastos Proyecciones'!I190</f>
        <v>65055</v>
      </c>
      <c r="J44" s="1115">
        <f>+'Gastos Proyecciones'!J190</f>
        <v>67657.2</v>
      </c>
      <c r="K44" s="1115">
        <f>+'Gastos Proyecciones'!K190</f>
        <v>70363.487999999998</v>
      </c>
      <c r="L44" s="1115">
        <f>+'Gastos Proyecciones'!L190</f>
        <v>73178.027520000003</v>
      </c>
      <c r="M44" s="1115">
        <f>+'Gastos Proyecciones'!M190</f>
        <v>76105.148620799999</v>
      </c>
      <c r="N44" s="1115">
        <f>+'Gastos Proyecciones'!N190</f>
        <v>79149.354565632006</v>
      </c>
      <c r="O44" s="1115">
        <f>+'Gastos Proyecciones'!O190</f>
        <v>82315.328748257292</v>
      </c>
      <c r="P44" s="1115">
        <f>+'Gastos Proyecciones'!P190</f>
        <v>85607.941898187593</v>
      </c>
      <c r="Q44" s="787" t="e">
        <f>+'Gastos Proyecciones'!#REF!</f>
        <v>#REF!</v>
      </c>
    </row>
    <row r="45" spans="1:17" s="524" customFormat="1" ht="18.75" customHeight="1" thickBot="1">
      <c r="A45" s="568" t="s">
        <v>381</v>
      </c>
      <c r="B45" s="1136" t="s">
        <v>382</v>
      </c>
      <c r="C45" s="1116" t="e">
        <f>+C26-C36-C41</f>
        <v>#REF!</v>
      </c>
      <c r="D45" s="1116" t="e">
        <f t="shared" ref="D45:Q45" si="6">+D26-D36-D41</f>
        <v>#REF!</v>
      </c>
      <c r="E45" s="1116" t="e">
        <f t="shared" si="6"/>
        <v>#REF!</v>
      </c>
      <c r="F45" s="1116" t="e">
        <f t="shared" si="6"/>
        <v>#REF!</v>
      </c>
      <c r="G45" s="1116" t="e">
        <f t="shared" si="6"/>
        <v>#REF!</v>
      </c>
      <c r="H45" s="1116" t="e">
        <f t="shared" si="6"/>
        <v>#REF!</v>
      </c>
      <c r="I45" s="1116" t="e">
        <f t="shared" si="6"/>
        <v>#REF!</v>
      </c>
      <c r="J45" s="1116" t="e">
        <f t="shared" si="6"/>
        <v>#REF!</v>
      </c>
      <c r="K45" s="1116" t="e">
        <f t="shared" si="6"/>
        <v>#REF!</v>
      </c>
      <c r="L45" s="1116" t="e">
        <f t="shared" si="6"/>
        <v>#REF!</v>
      </c>
      <c r="M45" s="1116" t="e">
        <f t="shared" si="6"/>
        <v>#REF!</v>
      </c>
      <c r="N45" s="1116" t="e">
        <f t="shared" si="6"/>
        <v>#REF!</v>
      </c>
      <c r="O45" s="1116" t="e">
        <f t="shared" si="6"/>
        <v>#REF!</v>
      </c>
      <c r="P45" s="1116" t="e">
        <f t="shared" si="6"/>
        <v>#REF!</v>
      </c>
      <c r="Q45" s="788" t="e">
        <f t="shared" si="6"/>
        <v>#REF!</v>
      </c>
    </row>
    <row r="46" spans="1:17" s="524" customFormat="1" ht="18.75" customHeight="1">
      <c r="A46" s="575" t="s">
        <v>383</v>
      </c>
      <c r="B46" s="1133" t="s">
        <v>384</v>
      </c>
      <c r="C46" s="1117"/>
      <c r="D46" s="1117"/>
      <c r="E46" s="1117"/>
      <c r="F46" s="1117"/>
      <c r="G46" s="1117"/>
      <c r="H46" s="1117"/>
      <c r="I46" s="1117"/>
      <c r="J46" s="1117"/>
      <c r="K46" s="1117"/>
      <c r="L46" s="1117"/>
      <c r="M46" s="1117"/>
      <c r="N46" s="1117"/>
      <c r="O46" s="1117"/>
      <c r="P46" s="1117"/>
      <c r="Q46" s="789"/>
    </row>
    <row r="47" spans="1:17" s="524" customFormat="1" ht="18.75" customHeight="1">
      <c r="A47" s="581" t="s">
        <v>385</v>
      </c>
      <c r="B47" s="1123" t="s">
        <v>386</v>
      </c>
      <c r="C47" s="1118"/>
      <c r="D47" s="1118"/>
      <c r="E47" s="1118"/>
      <c r="F47" s="1118"/>
      <c r="G47" s="1118"/>
      <c r="H47" s="1118"/>
      <c r="I47" s="1118"/>
      <c r="J47" s="1118"/>
      <c r="K47" s="1118"/>
      <c r="L47" s="1118"/>
      <c r="M47" s="1118"/>
      <c r="N47" s="1118"/>
      <c r="O47" s="1118"/>
      <c r="P47" s="1118"/>
      <c r="Q47" s="790"/>
    </row>
    <row r="48" spans="1:17" s="524" customFormat="1" ht="18.75" customHeight="1">
      <c r="A48" s="587" t="s">
        <v>387</v>
      </c>
      <c r="B48" s="1123" t="s">
        <v>388</v>
      </c>
      <c r="C48" s="1114">
        <f>+C49</f>
        <v>0</v>
      </c>
      <c r="D48" s="1114">
        <f>+D49</f>
        <v>0</v>
      </c>
      <c r="E48" s="1114">
        <f>+E49</f>
        <v>0</v>
      </c>
      <c r="F48" s="1114">
        <f>+F49+F50+F51+F52</f>
        <v>517609</v>
      </c>
      <c r="G48" s="1114">
        <f t="shared" ref="G48:Q48" si="7">+G49+G50+G51+G52</f>
        <v>538313.36</v>
      </c>
      <c r="H48" s="1114">
        <f t="shared" si="7"/>
        <v>440249</v>
      </c>
      <c r="I48" s="1114">
        <f t="shared" si="7"/>
        <v>447146.8</v>
      </c>
      <c r="J48" s="1114">
        <f t="shared" si="7"/>
        <v>451082.19200000004</v>
      </c>
      <c r="K48" s="1114">
        <f t="shared" si="7"/>
        <v>469125.47967999999</v>
      </c>
      <c r="L48" s="1114">
        <f t="shared" si="7"/>
        <v>487890.49886719999</v>
      </c>
      <c r="M48" s="1114">
        <f t="shared" si="7"/>
        <v>507405.83005388803</v>
      </c>
      <c r="N48" s="1114">
        <f t="shared" si="7"/>
        <v>527702.06325604348</v>
      </c>
      <c r="O48" s="1114">
        <f t="shared" si="7"/>
        <v>548810.14578628528</v>
      </c>
      <c r="P48" s="1114">
        <f t="shared" si="7"/>
        <v>570762.5516177367</v>
      </c>
      <c r="Q48" s="791" t="e">
        <f t="shared" si="7"/>
        <v>#REF!</v>
      </c>
    </row>
    <row r="49" spans="1:17" s="524" customFormat="1" ht="18.75" customHeight="1">
      <c r="A49" s="591" t="s">
        <v>873</v>
      </c>
      <c r="B49" s="1135" t="s">
        <v>389</v>
      </c>
      <c r="C49" s="1115">
        <f>+'Ingresos Proyecciones'!C47</f>
        <v>0</v>
      </c>
      <c r="D49" s="1115">
        <f>+'Ingresos Proyecciones'!D47</f>
        <v>0</v>
      </c>
      <c r="E49" s="1115">
        <f>+'Ingresos Proyecciones'!E47</f>
        <v>0</v>
      </c>
      <c r="F49" s="1115">
        <f>+'Ingresos Proyecciones'!F47</f>
        <v>426911</v>
      </c>
      <c r="G49" s="1115">
        <f>+'Ingresos Proyecciones'!G47</f>
        <v>443987.44</v>
      </c>
      <c r="H49" s="1115">
        <f>+'Ingresos Proyecciones'!H47</f>
        <v>358953</v>
      </c>
      <c r="I49" s="1115">
        <f>+'Ingresos Proyecciones'!I47</f>
        <v>433086</v>
      </c>
      <c r="J49" s="1115">
        <f>+'Ingresos Proyecciones'!J47</f>
        <v>436458.96</v>
      </c>
      <c r="K49" s="1115">
        <f>+'Ingresos Proyecciones'!K47</f>
        <v>453917.31839999999</v>
      </c>
      <c r="L49" s="1115">
        <f>+'Ingresos Proyecciones'!L47</f>
        <v>472074.01113599999</v>
      </c>
      <c r="M49" s="1115">
        <f>+'Ingresos Proyecciones'!M47</f>
        <v>411668.68281343998</v>
      </c>
      <c r="N49" s="1115">
        <f>+'Ingresos Proyecciones'!N47</f>
        <v>428135.43012597755</v>
      </c>
      <c r="O49" s="1115">
        <f>+'Ingresos Proyecciones'!O47</f>
        <v>445260.84733101667</v>
      </c>
      <c r="P49" s="1115">
        <f>+'Ingresos Proyecciones'!P47</f>
        <v>463071.28122425731</v>
      </c>
      <c r="Q49" s="792" t="e">
        <f>+'Ingresos Proyecciones'!#REF!</f>
        <v>#REF!</v>
      </c>
    </row>
    <row r="50" spans="1:17" s="524" customFormat="1" ht="18.75" customHeight="1">
      <c r="A50" s="591"/>
      <c r="B50" s="1135" t="s">
        <v>493</v>
      </c>
      <c r="C50" s="1115"/>
      <c r="D50" s="1115"/>
      <c r="E50" s="1115"/>
      <c r="F50" s="1115">
        <f>+'Ingresos Proyecciones'!F64</f>
        <v>78198</v>
      </c>
      <c r="G50" s="1115">
        <f>+'Ingresos Proyecciones'!G64</f>
        <v>81325.919999999998</v>
      </c>
      <c r="H50" s="1115">
        <f>+'Ingresos Proyecciones'!H64</f>
        <v>67776</v>
      </c>
      <c r="I50" s="1115">
        <f>+'Ingresos Proyecciones'!I64</f>
        <v>0</v>
      </c>
      <c r="J50" s="1115">
        <f>+'Ingresos Proyecciones'!J64</f>
        <v>0</v>
      </c>
      <c r="K50" s="1115">
        <f>+'Ingresos Proyecciones'!K64</f>
        <v>0</v>
      </c>
      <c r="L50" s="1115">
        <f>+'Ingresos Proyecciones'!L64</f>
        <v>0</v>
      </c>
      <c r="M50" s="1115">
        <f>+'Ingresos Proyecciones'!M64</f>
        <v>79288</v>
      </c>
      <c r="N50" s="1115">
        <f>+'Ingresos Proyecciones'!N64</f>
        <v>82459.520000000004</v>
      </c>
      <c r="O50" s="1115">
        <f>+'Ingresos Proyecciones'!O64</f>
        <v>85757.900800000003</v>
      </c>
      <c r="P50" s="1115">
        <f>+'Ingresos Proyecciones'!P64</f>
        <v>89188.216832000006</v>
      </c>
      <c r="Q50" s="792" t="e">
        <f>+'Ingresos Proyecciones'!#REF!</f>
        <v>#REF!</v>
      </c>
    </row>
    <row r="51" spans="1:17" s="524" customFormat="1" ht="18.75" customHeight="1">
      <c r="A51" s="591"/>
      <c r="B51" s="1135" t="s">
        <v>494</v>
      </c>
      <c r="C51" s="1115"/>
      <c r="D51" s="1115"/>
      <c r="E51" s="1115"/>
      <c r="F51" s="1115">
        <v>6000</v>
      </c>
      <c r="G51" s="1115">
        <f>+F51*1.04</f>
        <v>6240</v>
      </c>
      <c r="H51" s="1115">
        <f t="shared" ref="H51:Q51" si="8">+G51*1.04</f>
        <v>6489.6</v>
      </c>
      <c r="I51" s="1115">
        <f t="shared" si="8"/>
        <v>6749.1840000000002</v>
      </c>
      <c r="J51" s="1115">
        <f t="shared" si="8"/>
        <v>7019.1513600000008</v>
      </c>
      <c r="K51" s="1115">
        <f t="shared" si="8"/>
        <v>7299.9174144000008</v>
      </c>
      <c r="L51" s="1115">
        <f t="shared" si="8"/>
        <v>7591.9141109760012</v>
      </c>
      <c r="M51" s="1115">
        <f t="shared" si="8"/>
        <v>7895.5906754150419</v>
      </c>
      <c r="N51" s="1115">
        <f t="shared" si="8"/>
        <v>8211.4143024316436</v>
      </c>
      <c r="O51" s="1115">
        <f t="shared" si="8"/>
        <v>8539.8708745289096</v>
      </c>
      <c r="P51" s="1115">
        <f t="shared" si="8"/>
        <v>8881.4657095100665</v>
      </c>
      <c r="Q51" s="792">
        <f t="shared" si="8"/>
        <v>9236.7243378904695</v>
      </c>
    </row>
    <row r="52" spans="1:17" s="524" customFormat="1" ht="18.75" customHeight="1">
      <c r="A52" s="591"/>
      <c r="B52" s="1135" t="s">
        <v>495</v>
      </c>
      <c r="C52" s="1115"/>
      <c r="D52" s="1115"/>
      <c r="E52" s="1115"/>
      <c r="F52" s="1115">
        <v>6500</v>
      </c>
      <c r="G52" s="1115">
        <f t="shared" ref="G52:Q52" si="9">+F52*1.04</f>
        <v>6760</v>
      </c>
      <c r="H52" s="1115">
        <f t="shared" si="9"/>
        <v>7030.4000000000005</v>
      </c>
      <c r="I52" s="1115">
        <f t="shared" si="9"/>
        <v>7311.6160000000009</v>
      </c>
      <c r="J52" s="1115">
        <f t="shared" si="9"/>
        <v>7604.080640000001</v>
      </c>
      <c r="K52" s="1115">
        <f t="shared" si="9"/>
        <v>7908.2438656000013</v>
      </c>
      <c r="L52" s="1115">
        <f t="shared" si="9"/>
        <v>8224.5736202240023</v>
      </c>
      <c r="M52" s="1115">
        <f t="shared" si="9"/>
        <v>8553.5565650329627</v>
      </c>
      <c r="N52" s="1115">
        <f t="shared" si="9"/>
        <v>8895.6988276342818</v>
      </c>
      <c r="O52" s="1115">
        <f t="shared" si="9"/>
        <v>9251.526780739654</v>
      </c>
      <c r="P52" s="1115">
        <f t="shared" si="9"/>
        <v>9621.5878519692396</v>
      </c>
      <c r="Q52" s="792">
        <f t="shared" si="9"/>
        <v>10006.45136604801</v>
      </c>
    </row>
    <row r="53" spans="1:17" s="524" customFormat="1" ht="18.75" customHeight="1">
      <c r="A53" s="581" t="s">
        <v>390</v>
      </c>
      <c r="B53" s="1123" t="s">
        <v>391</v>
      </c>
      <c r="C53" s="1114">
        <f>SUM(C54:C55)</f>
        <v>0</v>
      </c>
      <c r="D53" s="1114">
        <f>SUM(D54:D55)</f>
        <v>0</v>
      </c>
      <c r="E53" s="1114">
        <f t="shared" ref="E53:Q53" si="10">SUM(E54:E55)</f>
        <v>0</v>
      </c>
      <c r="F53" s="1114">
        <f t="shared" si="10"/>
        <v>516610</v>
      </c>
      <c r="G53" s="1114">
        <f t="shared" si="10"/>
        <v>537274.4</v>
      </c>
      <c r="H53" s="1114">
        <f t="shared" si="10"/>
        <v>835975</v>
      </c>
      <c r="I53" s="1114">
        <f t="shared" si="10"/>
        <v>922051</v>
      </c>
      <c r="J53" s="1114">
        <f t="shared" si="10"/>
        <v>796215.96</v>
      </c>
      <c r="K53" s="1114">
        <f t="shared" si="10"/>
        <v>1011544.5984</v>
      </c>
      <c r="L53" s="1114">
        <f t="shared" si="10"/>
        <v>819526.01113600004</v>
      </c>
      <c r="M53" s="1114">
        <f t="shared" si="10"/>
        <v>1089727.1488614399</v>
      </c>
      <c r="N53" s="1114">
        <f t="shared" si="10"/>
        <v>1104716.2348158977</v>
      </c>
      <c r="O53" s="1114">
        <f t="shared" si="10"/>
        <v>1204064.8842085334</v>
      </c>
      <c r="P53" s="1114">
        <f t="shared" si="10"/>
        <v>1307347.479576875</v>
      </c>
      <c r="Q53" s="791" t="e">
        <f t="shared" si="10"/>
        <v>#REF!</v>
      </c>
    </row>
    <row r="54" spans="1:17" s="524" customFormat="1" ht="18.75" customHeight="1">
      <c r="A54" s="581" t="s">
        <v>392</v>
      </c>
      <c r="B54" s="1135" t="s">
        <v>393</v>
      </c>
      <c r="C54" s="1115">
        <f>+'Gastos Proyecciones'!C60+'Gastos Proyecciones'!C61+'Gastos Proyecciones'!C62+'Gastos Proyecciones'!C76+'Gastos Proyecciones'!C89+'Gastos Proyecciones'!C113+'Gastos Proyecciones'!C126+'Gastos Proyecciones'!C150+'Gastos Proyecciones'!C163</f>
        <v>0</v>
      </c>
      <c r="D54" s="1115">
        <f>+'Gastos Proyecciones'!D60+'Gastos Proyecciones'!D61+'Gastos Proyecciones'!D62+'Gastos Proyecciones'!D76+'Gastos Proyecciones'!D89+'Gastos Proyecciones'!D113+'Gastos Proyecciones'!D126+'Gastos Proyecciones'!D150+'Gastos Proyecciones'!D163</f>
        <v>0</v>
      </c>
      <c r="E54" s="1115">
        <f>+'Gastos Proyecciones'!E60+'Gastos Proyecciones'!E61+'Gastos Proyecciones'!E62+'Gastos Proyecciones'!E76+'Gastos Proyecciones'!E89+'Gastos Proyecciones'!E113+'Gastos Proyecciones'!E126+'Gastos Proyecciones'!E150+'Gastos Proyecciones'!E163</f>
        <v>0</v>
      </c>
      <c r="F54" s="1115">
        <f>+'Gastos Proyecciones'!F60+'Gastos Proyecciones'!F61+'Gastos Proyecciones'!F62+'Gastos Proyecciones'!F76+'Gastos Proyecciones'!F89+'Gastos Proyecciones'!F113+'Gastos Proyecciones'!F126+'Gastos Proyecciones'!F150+'Gastos Proyecciones'!F163</f>
        <v>0</v>
      </c>
      <c r="G54" s="1115">
        <f>+'Gastos Proyecciones'!G60+'Gastos Proyecciones'!G61+'Gastos Proyecciones'!G62+'Gastos Proyecciones'!G76+'Gastos Proyecciones'!G89+'Gastos Proyecciones'!G113+'Gastos Proyecciones'!G126+'Gastos Proyecciones'!G150+'Gastos Proyecciones'!G163</f>
        <v>0</v>
      </c>
      <c r="H54" s="1115">
        <f>+'Gastos Proyecciones'!H60+'Gastos Proyecciones'!H61+'Gastos Proyecciones'!H62+'Gastos Proyecciones'!H76+'Gastos Proyecciones'!H89+'Gastos Proyecciones'!H113+'Gastos Proyecciones'!H126+'Gastos Proyecciones'!H150+'Gastos Proyecciones'!H163</f>
        <v>0</v>
      </c>
      <c r="I54" s="1115">
        <f>+'Gastos Proyecciones'!I60+'Gastos Proyecciones'!I61+'Gastos Proyecciones'!I62+'Gastos Proyecciones'!I76+'Gastos Proyecciones'!I89+'Gastos Proyecciones'!I113+'Gastos Proyecciones'!I126+'Gastos Proyecciones'!I150+'Gastos Proyecciones'!I163</f>
        <v>0</v>
      </c>
      <c r="J54" s="1115">
        <f>+'Gastos Proyecciones'!J60+'Gastos Proyecciones'!J61+'Gastos Proyecciones'!J62+'Gastos Proyecciones'!J76+'Gastos Proyecciones'!J89+'Gastos Proyecciones'!J113+'Gastos Proyecciones'!J126+'Gastos Proyecciones'!J150+'Gastos Proyecciones'!J163</f>
        <v>0</v>
      </c>
      <c r="K54" s="1115">
        <f>+'Gastos Proyecciones'!K60+'Gastos Proyecciones'!K61+'Gastos Proyecciones'!K62+'Gastos Proyecciones'!K76+'Gastos Proyecciones'!K89+'Gastos Proyecciones'!K113+'Gastos Proyecciones'!K126+'Gastos Proyecciones'!K150+'Gastos Proyecciones'!K163</f>
        <v>0</v>
      </c>
      <c r="L54" s="1115">
        <f>+'Gastos Proyecciones'!L60+'Gastos Proyecciones'!L61+'Gastos Proyecciones'!L62+'Gastos Proyecciones'!L76+'Gastos Proyecciones'!L89+'Gastos Proyecciones'!L113+'Gastos Proyecciones'!L126+'Gastos Proyecciones'!L150+'Gastos Proyecciones'!L163</f>
        <v>0</v>
      </c>
      <c r="M54" s="1115">
        <f>+'Gastos Proyecciones'!M60+'Gastos Proyecciones'!M61+'Gastos Proyecciones'!M62+'Gastos Proyecciones'!M76+'Gastos Proyecciones'!M89+'Gastos Proyecciones'!M113+'Gastos Proyecciones'!M126+'Gastos Proyecciones'!M150+'Gastos Proyecciones'!M163</f>
        <v>0</v>
      </c>
      <c r="N54" s="1115">
        <f>+'Gastos Proyecciones'!N60+'Gastos Proyecciones'!N61+'Gastos Proyecciones'!N62+'Gastos Proyecciones'!N76+'Gastos Proyecciones'!N89+'Gastos Proyecciones'!N113+'Gastos Proyecciones'!N126+'Gastos Proyecciones'!N150+'Gastos Proyecciones'!N163</f>
        <v>0</v>
      </c>
      <c r="O54" s="1115">
        <f>+'Gastos Proyecciones'!O60+'Gastos Proyecciones'!O61+'Gastos Proyecciones'!O62+'Gastos Proyecciones'!O76+'Gastos Proyecciones'!O89+'Gastos Proyecciones'!O113+'Gastos Proyecciones'!O126+'Gastos Proyecciones'!O150+'Gastos Proyecciones'!O163</f>
        <v>0</v>
      </c>
      <c r="P54" s="1115">
        <f>+'Gastos Proyecciones'!P60+'Gastos Proyecciones'!P61+'Gastos Proyecciones'!P62+'Gastos Proyecciones'!P76+'Gastos Proyecciones'!P89+'Gastos Proyecciones'!P113+'Gastos Proyecciones'!P126+'Gastos Proyecciones'!P150+'Gastos Proyecciones'!P163</f>
        <v>0</v>
      </c>
      <c r="Q54" s="792" t="e">
        <f>+'Gastos Proyecciones'!#REF!+'Gastos Proyecciones'!#REF!+'Gastos Proyecciones'!#REF!+'Gastos Proyecciones'!#REF!+'Gastos Proyecciones'!#REF!+'Gastos Proyecciones'!#REF!+'Gastos Proyecciones'!#REF!+'Gastos Proyecciones'!#REF!+'Gastos Proyecciones'!#REF!</f>
        <v>#REF!</v>
      </c>
    </row>
    <row r="55" spans="1:17" s="524" customFormat="1" ht="18.75" customHeight="1">
      <c r="A55" s="581" t="s">
        <v>394</v>
      </c>
      <c r="B55" s="1135" t="s">
        <v>395</v>
      </c>
      <c r="C55" s="1115">
        <f>+'Gastos Proyecciones'!C58+'Gastos Proyecciones'!C59+'Gastos Proyecciones'!C63+'Gastos Proyecciones'!C97+'Gastos Proyecciones'!C134+'Gastos Proyecciones'!C170</f>
        <v>0</v>
      </c>
      <c r="D55" s="1115">
        <f>+'Gastos Proyecciones'!D58+'Gastos Proyecciones'!D59+'Gastos Proyecciones'!D63+'Gastos Proyecciones'!D97+'Gastos Proyecciones'!D134+'Gastos Proyecciones'!D170</f>
        <v>0</v>
      </c>
      <c r="E55" s="1115">
        <f>+'Gastos Proyecciones'!E58+'Gastos Proyecciones'!E59+'Gastos Proyecciones'!E63+'Gastos Proyecciones'!E97+'Gastos Proyecciones'!E134+'Gastos Proyecciones'!E170</f>
        <v>0</v>
      </c>
      <c r="F55" s="1115">
        <f>+'Gastos Proyecciones'!F58+'Gastos Proyecciones'!F59+'Gastos Proyecciones'!F63+'Gastos Proyecciones'!F97+'Gastos Proyecciones'!F134+'Gastos Proyecciones'!F170</f>
        <v>516610</v>
      </c>
      <c r="G55" s="1115">
        <f>+'Gastos Proyecciones'!G58+'Gastos Proyecciones'!G59+'Gastos Proyecciones'!G63+'Gastos Proyecciones'!G97+'Gastos Proyecciones'!G134+'Gastos Proyecciones'!G170</f>
        <v>537274.4</v>
      </c>
      <c r="H55" s="1115">
        <f>+'Gastos Proyecciones'!H58+'Gastos Proyecciones'!H59+'Gastos Proyecciones'!H63+'Gastos Proyecciones'!H97+'Gastos Proyecciones'!H134+'Gastos Proyecciones'!H170</f>
        <v>835975</v>
      </c>
      <c r="I55" s="1115">
        <f>+'Gastos Proyecciones'!I58+'Gastos Proyecciones'!I59+'Gastos Proyecciones'!I63+'Gastos Proyecciones'!I97+'Gastos Proyecciones'!I134+'Gastos Proyecciones'!I170</f>
        <v>922051</v>
      </c>
      <c r="J55" s="1115">
        <f>+'Gastos Proyecciones'!J58+'Gastos Proyecciones'!J59+'Gastos Proyecciones'!J63+'Gastos Proyecciones'!J97+'Gastos Proyecciones'!J134+'Gastos Proyecciones'!J170</f>
        <v>796215.96</v>
      </c>
      <c r="K55" s="1115">
        <f>+'Gastos Proyecciones'!K58+'Gastos Proyecciones'!K59+'Gastos Proyecciones'!K63+'Gastos Proyecciones'!K97+'Gastos Proyecciones'!K134+'Gastos Proyecciones'!K170</f>
        <v>1011544.5984</v>
      </c>
      <c r="L55" s="1115">
        <f>+'Gastos Proyecciones'!L58+'Gastos Proyecciones'!L59+'Gastos Proyecciones'!L63+'Gastos Proyecciones'!L97+'Gastos Proyecciones'!L134+'Gastos Proyecciones'!L170</f>
        <v>819526.01113600004</v>
      </c>
      <c r="M55" s="1115">
        <f>+'Gastos Proyecciones'!M58+'Gastos Proyecciones'!M59+'Gastos Proyecciones'!M63+'Gastos Proyecciones'!M97+'Gastos Proyecciones'!M134+'Gastos Proyecciones'!M170</f>
        <v>1089727.1488614399</v>
      </c>
      <c r="N55" s="1115">
        <f>+'Gastos Proyecciones'!N58+'Gastos Proyecciones'!N59+'Gastos Proyecciones'!N63+'Gastos Proyecciones'!N97+'Gastos Proyecciones'!N134+'Gastos Proyecciones'!N170</f>
        <v>1104716.2348158977</v>
      </c>
      <c r="O55" s="1115">
        <f>+'Gastos Proyecciones'!O58+'Gastos Proyecciones'!O59+'Gastos Proyecciones'!O63+'Gastos Proyecciones'!O97+'Gastos Proyecciones'!O134+'Gastos Proyecciones'!O170</f>
        <v>1204064.8842085334</v>
      </c>
      <c r="P55" s="1115">
        <f>+'Gastos Proyecciones'!P58+'Gastos Proyecciones'!P59+'Gastos Proyecciones'!P63+'Gastos Proyecciones'!P97+'Gastos Proyecciones'!P134+'Gastos Proyecciones'!P170</f>
        <v>1307347.479576875</v>
      </c>
      <c r="Q55" s="792" t="e">
        <f>+'Gastos Proyecciones'!#REF!+'Gastos Proyecciones'!#REF!+'Gastos Proyecciones'!#REF!+'Gastos Proyecciones'!#REF!+'Gastos Proyecciones'!#REF!+'Gastos Proyecciones'!#REF!</f>
        <v>#REF!</v>
      </c>
    </row>
    <row r="56" spans="1:17" s="524" customFormat="1" ht="18.75" customHeight="1">
      <c r="A56" s="581" t="s">
        <v>396</v>
      </c>
      <c r="B56" s="1135" t="s">
        <v>397</v>
      </c>
      <c r="C56" s="1114">
        <f>+C48-C53</f>
        <v>0</v>
      </c>
      <c r="D56" s="1114">
        <f>+D48-D53</f>
        <v>0</v>
      </c>
      <c r="E56" s="1114">
        <f t="shared" ref="E56:Q56" si="11">+E48-E53</f>
        <v>0</v>
      </c>
      <c r="F56" s="1114">
        <f t="shared" si="11"/>
        <v>999</v>
      </c>
      <c r="G56" s="1114">
        <f t="shared" si="11"/>
        <v>1038.9599999999627</v>
      </c>
      <c r="H56" s="1114">
        <f t="shared" si="11"/>
        <v>-395726</v>
      </c>
      <c r="I56" s="1114">
        <f t="shared" si="11"/>
        <v>-474904.2</v>
      </c>
      <c r="J56" s="1114">
        <f t="shared" si="11"/>
        <v>-345133.76799999992</v>
      </c>
      <c r="K56" s="1114">
        <f t="shared" si="11"/>
        <v>-542419.11872000003</v>
      </c>
      <c r="L56" s="1114">
        <f t="shared" si="11"/>
        <v>-331635.51226880006</v>
      </c>
      <c r="M56" s="1114">
        <f t="shared" si="11"/>
        <v>-582321.31880755187</v>
      </c>
      <c r="N56" s="1114">
        <f t="shared" si="11"/>
        <v>-577014.17155985418</v>
      </c>
      <c r="O56" s="1114">
        <f t="shared" si="11"/>
        <v>-655254.73842224816</v>
      </c>
      <c r="P56" s="1114">
        <f t="shared" si="11"/>
        <v>-736584.92795913829</v>
      </c>
      <c r="Q56" s="791" t="e">
        <f t="shared" si="11"/>
        <v>#REF!</v>
      </c>
    </row>
    <row r="57" spans="1:17" s="524" customFormat="1" ht="18.75" customHeight="1">
      <c r="A57" s="581" t="s">
        <v>398</v>
      </c>
      <c r="B57" s="1123" t="s">
        <v>399</v>
      </c>
      <c r="C57" s="1115"/>
      <c r="D57" s="1115"/>
      <c r="E57" s="1115"/>
      <c r="F57" s="1115"/>
      <c r="G57" s="1115"/>
      <c r="H57" s="1115"/>
      <c r="I57" s="1115"/>
      <c r="J57" s="1115"/>
      <c r="K57" s="1115"/>
      <c r="L57" s="1115"/>
      <c r="M57" s="1115"/>
      <c r="N57" s="1115"/>
      <c r="O57" s="1115"/>
      <c r="P57" s="1115"/>
      <c r="Q57" s="792"/>
    </row>
    <row r="58" spans="1:17" s="524" customFormat="1" ht="18.75" customHeight="1">
      <c r="A58" s="581" t="s">
        <v>400</v>
      </c>
      <c r="B58" s="1123" t="s">
        <v>388</v>
      </c>
      <c r="C58" s="1114">
        <f>+C59+C60</f>
        <v>0</v>
      </c>
      <c r="D58" s="1114">
        <f>+D59+D60</f>
        <v>0</v>
      </c>
      <c r="E58" s="1114">
        <f t="shared" ref="E58:Q58" si="12">+E59+E60</f>
        <v>0</v>
      </c>
      <c r="F58" s="1114">
        <f t="shared" si="12"/>
        <v>2857410</v>
      </c>
      <c r="G58" s="1114">
        <f t="shared" si="12"/>
        <v>2971706.4</v>
      </c>
      <c r="H58" s="1114">
        <f t="shared" si="12"/>
        <v>2854148</v>
      </c>
      <c r="I58" s="1114">
        <f t="shared" si="12"/>
        <v>2990810.28</v>
      </c>
      <c r="J58" s="1114">
        <f t="shared" si="12"/>
        <v>2991710.1712000002</v>
      </c>
      <c r="K58" s="1114">
        <f t="shared" si="12"/>
        <v>3111378.5780480001</v>
      </c>
      <c r="L58" s="1114">
        <f t="shared" si="12"/>
        <v>3235833.7211699197</v>
      </c>
      <c r="M58" s="1114">
        <f t="shared" si="12"/>
        <v>2025330.1980807174</v>
      </c>
      <c r="N58" s="1114">
        <f t="shared" si="12"/>
        <v>2106343.406003946</v>
      </c>
      <c r="O58" s="1114">
        <f t="shared" si="12"/>
        <v>2190597.1422441043</v>
      </c>
      <c r="P58" s="1114">
        <f t="shared" si="12"/>
        <v>2278221.0279338681</v>
      </c>
      <c r="Q58" s="791" t="e">
        <f t="shared" si="12"/>
        <v>#REF!</v>
      </c>
    </row>
    <row r="59" spans="1:17" s="524" customFormat="1" ht="18.75" customHeight="1">
      <c r="A59" s="591" t="s">
        <v>879</v>
      </c>
      <c r="B59" s="1135" t="s">
        <v>389</v>
      </c>
      <c r="C59" s="1115">
        <f>+'Ingresos Proyecciones'!C52</f>
        <v>0</v>
      </c>
      <c r="D59" s="1115">
        <f>+'Ingresos Proyecciones'!D52</f>
        <v>0</v>
      </c>
      <c r="E59" s="1115">
        <f>+'Ingresos Proyecciones'!E52</f>
        <v>0</v>
      </c>
      <c r="F59" s="1115">
        <f>+'Ingresos Proyecciones'!F52</f>
        <v>2837410</v>
      </c>
      <c r="G59" s="1115">
        <f>+'Ingresos Proyecciones'!G52</f>
        <v>2950906.4</v>
      </c>
      <c r="H59" s="1115">
        <f>+'Ingresos Proyecciones'!H52</f>
        <v>2832516</v>
      </c>
      <c r="I59" s="1115">
        <f>+'Ingresos Proyecciones'!I52</f>
        <v>2968313</v>
      </c>
      <c r="J59" s="1115">
        <f>+'Ingresos Proyecciones'!J52</f>
        <v>2968313</v>
      </c>
      <c r="K59" s="1115">
        <f>+'Ingresos Proyecciones'!K52</f>
        <v>3087045.52</v>
      </c>
      <c r="L59" s="1115">
        <f>+'Ingresos Proyecciones'!L52</f>
        <v>3210527.3407999999</v>
      </c>
      <c r="M59" s="1115">
        <f>+'Ingresos Proyecciones'!M52</f>
        <v>1999011.5624960004</v>
      </c>
      <c r="N59" s="1115">
        <f>+'Ingresos Proyecciones'!N52</f>
        <v>2078972.0249958406</v>
      </c>
      <c r="O59" s="1115">
        <f>+'Ingresos Proyecciones'!O52</f>
        <v>2162130.9059956744</v>
      </c>
      <c r="P59" s="1115">
        <f>+'Ingresos Proyecciones'!P52</f>
        <v>2248616.1422355012</v>
      </c>
      <c r="Q59" s="792" t="e">
        <f>+'Ingresos Proyecciones'!#REF!</f>
        <v>#REF!</v>
      </c>
    </row>
    <row r="60" spans="1:17" s="524" customFormat="1" ht="18.75" customHeight="1">
      <c r="A60" s="581" t="s">
        <v>401</v>
      </c>
      <c r="B60" s="1135" t="s">
        <v>402</v>
      </c>
      <c r="C60" s="1115">
        <f>+'Ingresos Proyecciones'!C20+'Ingresos Proyecciones'!C67+'Ingresos Proyecciones'!C68</f>
        <v>0</v>
      </c>
      <c r="D60" s="1115">
        <f>+'Ingresos Proyecciones'!D20+'Ingresos Proyecciones'!D67+'Ingresos Proyecciones'!D68</f>
        <v>0</v>
      </c>
      <c r="E60" s="1115">
        <f>+'Ingresos Proyecciones'!E20+'Ingresos Proyecciones'!E67+'Ingresos Proyecciones'!E68</f>
        <v>0</v>
      </c>
      <c r="F60" s="1115">
        <v>20000</v>
      </c>
      <c r="G60" s="1115">
        <f>+F60*1.04</f>
        <v>20800</v>
      </c>
      <c r="H60" s="1115">
        <f t="shared" ref="H60:Q60" si="13">+G60*1.04</f>
        <v>21632</v>
      </c>
      <c r="I60" s="1115">
        <f t="shared" si="13"/>
        <v>22497.280000000002</v>
      </c>
      <c r="J60" s="1115">
        <f t="shared" si="13"/>
        <v>23397.171200000004</v>
      </c>
      <c r="K60" s="1115">
        <f t="shared" si="13"/>
        <v>24333.058048000006</v>
      </c>
      <c r="L60" s="1115">
        <f t="shared" si="13"/>
        <v>25306.380369920007</v>
      </c>
      <c r="M60" s="1115">
        <f t="shared" si="13"/>
        <v>26318.635584716809</v>
      </c>
      <c r="N60" s="1115">
        <f t="shared" si="13"/>
        <v>27371.381008105483</v>
      </c>
      <c r="O60" s="1115">
        <f t="shared" si="13"/>
        <v>28466.236248429705</v>
      </c>
      <c r="P60" s="1115">
        <f t="shared" si="13"/>
        <v>29604.885698366892</v>
      </c>
      <c r="Q60" s="792">
        <f t="shared" si="13"/>
        <v>30789.081126301568</v>
      </c>
    </row>
    <row r="61" spans="1:17" s="524" customFormat="1" ht="18.75" customHeight="1">
      <c r="A61" s="581" t="s">
        <v>403</v>
      </c>
      <c r="B61" s="1123" t="s">
        <v>391</v>
      </c>
      <c r="C61" s="1114">
        <f>SUM(C62:C63)</f>
        <v>0</v>
      </c>
      <c r="D61" s="1114">
        <f>SUM(D62:D63)</f>
        <v>0</v>
      </c>
      <c r="E61" s="1114">
        <f t="shared" ref="E61:Q61" si="14">SUM(E62:E63)</f>
        <v>0</v>
      </c>
      <c r="F61" s="1114">
        <f t="shared" si="14"/>
        <v>2857410</v>
      </c>
      <c r="G61" s="1114">
        <f t="shared" si="14"/>
        <v>2971706.4</v>
      </c>
      <c r="H61" s="1114">
        <f t="shared" si="14"/>
        <v>2854148</v>
      </c>
      <c r="I61" s="1114">
        <f t="shared" si="14"/>
        <v>2866231</v>
      </c>
      <c r="J61" s="1114">
        <f t="shared" si="14"/>
        <v>2866231</v>
      </c>
      <c r="K61" s="1114">
        <f t="shared" si="14"/>
        <v>2980880.24</v>
      </c>
      <c r="L61" s="1114">
        <f t="shared" si="14"/>
        <v>3100115.4496000004</v>
      </c>
      <c r="M61" s="1114">
        <f t="shared" si="14"/>
        <v>3251120.1956480006</v>
      </c>
      <c r="N61" s="1114">
        <f t="shared" si="14"/>
        <v>3381165.0034739207</v>
      </c>
      <c r="O61" s="1114">
        <f t="shared" si="14"/>
        <v>3516411.6036128774</v>
      </c>
      <c r="P61" s="1114">
        <f t="shared" si="14"/>
        <v>3657068.0677573928</v>
      </c>
      <c r="Q61" s="791" t="e">
        <f t="shared" si="14"/>
        <v>#REF!</v>
      </c>
    </row>
    <row r="62" spans="1:17" s="524" customFormat="1" ht="18.75" customHeight="1">
      <c r="A62" s="581" t="s">
        <v>404</v>
      </c>
      <c r="B62" s="1135" t="s">
        <v>393</v>
      </c>
      <c r="C62" s="1115">
        <f>+'Gastos Proyecciones'!C67+'Gastos Proyecciones'!C68+'Gastos Proyecciones'!C69+'Gastos Proyecciones'!C78+'Gastos Proyecciones'!C90+'Gastos Proyecciones'!C115+'Gastos Proyecciones'!C127+'Gastos Proyecciones'!C152+'Gastos Proyecciones'!C164</f>
        <v>0</v>
      </c>
      <c r="D62" s="1115">
        <f>+'Gastos Proyecciones'!D67+'Gastos Proyecciones'!D68+'Gastos Proyecciones'!D69+'Gastos Proyecciones'!D78+'Gastos Proyecciones'!D90+'Gastos Proyecciones'!D115+'Gastos Proyecciones'!D127+'Gastos Proyecciones'!D152+'Gastos Proyecciones'!D164</f>
        <v>0</v>
      </c>
      <c r="E62" s="1115">
        <f>+'Gastos Proyecciones'!E67+'Gastos Proyecciones'!E68+'Gastos Proyecciones'!E69+'Gastos Proyecciones'!E78+'Gastos Proyecciones'!E90+'Gastos Proyecciones'!E115+'Gastos Proyecciones'!E127+'Gastos Proyecciones'!E152+'Gastos Proyecciones'!E164</f>
        <v>0</v>
      </c>
      <c r="F62" s="1115">
        <f>+'Gastos Proyecciones'!F67+'Gastos Proyecciones'!F68+'Gastos Proyecciones'!F69+'Gastos Proyecciones'!F78+'Gastos Proyecciones'!F90+'Gastos Proyecciones'!F115+'Gastos Proyecciones'!F127+'Gastos Proyecciones'!F152+'Gastos Proyecciones'!F164</f>
        <v>2857410</v>
      </c>
      <c r="G62" s="1115">
        <f>+'Gastos Proyecciones'!G67+'Gastos Proyecciones'!G68+'Gastos Proyecciones'!G69+'Gastos Proyecciones'!G78+'Gastos Proyecciones'!G90+'Gastos Proyecciones'!G115+'Gastos Proyecciones'!G127+'Gastos Proyecciones'!G152+'Gastos Proyecciones'!G164</f>
        <v>2971706.4</v>
      </c>
      <c r="H62" s="1115">
        <f>+'Gastos Proyecciones'!H67+'Gastos Proyecciones'!H68+'Gastos Proyecciones'!H69+'Gastos Proyecciones'!H78+'Gastos Proyecciones'!H90+'Gastos Proyecciones'!H115+'Gastos Proyecciones'!H127+'Gastos Proyecciones'!H152+'Gastos Proyecciones'!H164</f>
        <v>2854148</v>
      </c>
      <c r="I62" s="1115">
        <f>+'Gastos Proyecciones'!I67+'Gastos Proyecciones'!I68+'Gastos Proyecciones'!I69+'Gastos Proyecciones'!I78+'Gastos Proyecciones'!I90+'Gastos Proyecciones'!I115+'Gastos Proyecciones'!I127+'Gastos Proyecciones'!I152+'Gastos Proyecciones'!I164</f>
        <v>2866231</v>
      </c>
      <c r="J62" s="1115">
        <f>+'Gastos Proyecciones'!J67+'Gastos Proyecciones'!J68+'Gastos Proyecciones'!J69+'Gastos Proyecciones'!J78+'Gastos Proyecciones'!J90+'Gastos Proyecciones'!J115+'Gastos Proyecciones'!J127+'Gastos Proyecciones'!J152+'Gastos Proyecciones'!J164</f>
        <v>2866231</v>
      </c>
      <c r="K62" s="1115">
        <f>+'Gastos Proyecciones'!K67+'Gastos Proyecciones'!K68+'Gastos Proyecciones'!K69+'Gastos Proyecciones'!K78+'Gastos Proyecciones'!K90+'Gastos Proyecciones'!K115+'Gastos Proyecciones'!K127+'Gastos Proyecciones'!K152+'Gastos Proyecciones'!K164</f>
        <v>2980880.24</v>
      </c>
      <c r="L62" s="1115">
        <f>+'Gastos Proyecciones'!L67+'Gastos Proyecciones'!L68+'Gastos Proyecciones'!L69+'Gastos Proyecciones'!L78+'Gastos Proyecciones'!L90+'Gastos Proyecciones'!L115+'Gastos Proyecciones'!L127+'Gastos Proyecciones'!L152+'Gastos Proyecciones'!L164</f>
        <v>3100115.4496000004</v>
      </c>
      <c r="M62" s="1115">
        <f>+'Gastos Proyecciones'!M67+'Gastos Proyecciones'!M68+'Gastos Proyecciones'!M69+'Gastos Proyecciones'!M78+'Gastos Proyecciones'!M90+'Gastos Proyecciones'!M115+'Gastos Proyecciones'!M127+'Gastos Proyecciones'!M152+'Gastos Proyecciones'!M164</f>
        <v>3251120.1956480006</v>
      </c>
      <c r="N62" s="1115">
        <f>+'Gastos Proyecciones'!N67+'Gastos Proyecciones'!N68+'Gastos Proyecciones'!N69+'Gastos Proyecciones'!N78+'Gastos Proyecciones'!N90+'Gastos Proyecciones'!N115+'Gastos Proyecciones'!N127+'Gastos Proyecciones'!N152+'Gastos Proyecciones'!N164</f>
        <v>3381165.0034739207</v>
      </c>
      <c r="O62" s="1115">
        <f>+'Gastos Proyecciones'!O67+'Gastos Proyecciones'!O68+'Gastos Proyecciones'!O69+'Gastos Proyecciones'!O78+'Gastos Proyecciones'!O90+'Gastos Proyecciones'!O115+'Gastos Proyecciones'!O127+'Gastos Proyecciones'!O152+'Gastos Proyecciones'!O164</f>
        <v>3516411.6036128774</v>
      </c>
      <c r="P62" s="1115">
        <f>+'Gastos Proyecciones'!P67+'Gastos Proyecciones'!P68+'Gastos Proyecciones'!P69+'Gastos Proyecciones'!P78+'Gastos Proyecciones'!P90+'Gastos Proyecciones'!P115+'Gastos Proyecciones'!P127+'Gastos Proyecciones'!P152+'Gastos Proyecciones'!P164</f>
        <v>3657068.0677573928</v>
      </c>
      <c r="Q62" s="792" t="e">
        <f>+'Gastos Proyecciones'!#REF!+'Gastos Proyecciones'!#REF!+'Gastos Proyecciones'!#REF!+'Gastos Proyecciones'!#REF!+'Gastos Proyecciones'!#REF!+'Gastos Proyecciones'!#REF!+'Gastos Proyecciones'!#REF!+'Gastos Proyecciones'!#REF!+'Gastos Proyecciones'!#REF!</f>
        <v>#REF!</v>
      </c>
    </row>
    <row r="63" spans="1:17" s="524" customFormat="1" ht="15" hidden="1" customHeight="1">
      <c r="A63" s="581" t="s">
        <v>405</v>
      </c>
      <c r="B63" s="1135" t="s">
        <v>395</v>
      </c>
      <c r="C63" s="1115">
        <f>+'Gastos Proyecciones'!C65+'Gastos Proyecciones'!C66+'Gastos Proyecciones'!C70+'Gastos Proyecciones'!C99+'Gastos Proyecciones'!C136+'Gastos Proyecciones'!C172</f>
        <v>0</v>
      </c>
      <c r="D63" s="1115">
        <f>+'Gastos Proyecciones'!D65+'Gastos Proyecciones'!D66+'Gastos Proyecciones'!D70+'Gastos Proyecciones'!D99+'Gastos Proyecciones'!D136+'Gastos Proyecciones'!D172</f>
        <v>0</v>
      </c>
      <c r="E63" s="1115">
        <f>+'Gastos Proyecciones'!E65+'Gastos Proyecciones'!E66+'Gastos Proyecciones'!E70+'Gastos Proyecciones'!E99+'Gastos Proyecciones'!E136+'Gastos Proyecciones'!E172</f>
        <v>0</v>
      </c>
      <c r="F63" s="1115">
        <v>0</v>
      </c>
      <c r="G63" s="1115">
        <v>0</v>
      </c>
      <c r="H63" s="1115">
        <v>0</v>
      </c>
      <c r="I63" s="1115">
        <v>0</v>
      </c>
      <c r="J63" s="1115">
        <v>0</v>
      </c>
      <c r="K63" s="1115">
        <v>0</v>
      </c>
      <c r="L63" s="1115">
        <v>0</v>
      </c>
      <c r="M63" s="1115">
        <v>0</v>
      </c>
      <c r="N63" s="1115">
        <v>0</v>
      </c>
      <c r="O63" s="1115">
        <v>0</v>
      </c>
      <c r="P63" s="1115">
        <v>0</v>
      </c>
      <c r="Q63" s="792">
        <v>0</v>
      </c>
    </row>
    <row r="64" spans="1:17" s="524" customFormat="1" ht="18.75" customHeight="1">
      <c r="A64" s="581" t="s">
        <v>406</v>
      </c>
      <c r="B64" s="1135" t="s">
        <v>397</v>
      </c>
      <c r="C64" s="1114">
        <f>+C58-C61</f>
        <v>0</v>
      </c>
      <c r="D64" s="1114">
        <f>+D58-D61</f>
        <v>0</v>
      </c>
      <c r="E64" s="1114">
        <f t="shared" ref="E64:Q64" si="15">+E58-E61</f>
        <v>0</v>
      </c>
      <c r="F64" s="1114">
        <f t="shared" si="15"/>
        <v>0</v>
      </c>
      <c r="G64" s="1114">
        <f t="shared" si="15"/>
        <v>0</v>
      </c>
      <c r="H64" s="1114">
        <f t="shared" si="15"/>
        <v>0</v>
      </c>
      <c r="I64" s="1114">
        <f t="shared" si="15"/>
        <v>124579.2799999998</v>
      </c>
      <c r="J64" s="1114">
        <f t="shared" si="15"/>
        <v>125479.17120000022</v>
      </c>
      <c r="K64" s="1114">
        <f t="shared" si="15"/>
        <v>130498.33804799989</v>
      </c>
      <c r="L64" s="1114">
        <f t="shared" si="15"/>
        <v>135718.27156991931</v>
      </c>
      <c r="M64" s="1114">
        <f t="shared" si="15"/>
        <v>-1225789.9975672832</v>
      </c>
      <c r="N64" s="1114">
        <f t="shared" si="15"/>
        <v>-1274821.5974699748</v>
      </c>
      <c r="O64" s="1114">
        <f t="shared" si="15"/>
        <v>-1325814.4613687731</v>
      </c>
      <c r="P64" s="1114">
        <f t="shared" si="15"/>
        <v>-1378847.0398235247</v>
      </c>
      <c r="Q64" s="791" t="e">
        <f t="shared" si="15"/>
        <v>#REF!</v>
      </c>
    </row>
    <row r="65" spans="1:17" s="524" customFormat="1" ht="18.75" customHeight="1">
      <c r="A65" s="581" t="s">
        <v>407</v>
      </c>
      <c r="B65" s="1123" t="s">
        <v>408</v>
      </c>
      <c r="C65" s="1114"/>
      <c r="D65" s="1114"/>
      <c r="E65" s="1114"/>
      <c r="F65" s="1114"/>
      <c r="G65" s="1114"/>
      <c r="H65" s="1114"/>
      <c r="I65" s="1114"/>
      <c r="J65" s="1114"/>
      <c r="K65" s="1114"/>
      <c r="L65" s="1114"/>
      <c r="M65" s="1114"/>
      <c r="N65" s="1114"/>
      <c r="O65" s="1114"/>
      <c r="P65" s="1114"/>
      <c r="Q65" s="791"/>
    </row>
    <row r="66" spans="1:17" s="524" customFormat="1" ht="18.75" customHeight="1">
      <c r="A66" s="581" t="s">
        <v>409</v>
      </c>
      <c r="B66" s="1123" t="s">
        <v>388</v>
      </c>
      <c r="C66" s="1114">
        <f>+C67</f>
        <v>0</v>
      </c>
      <c r="D66" s="1114">
        <f>+D67</f>
        <v>0</v>
      </c>
      <c r="E66" s="1114">
        <f t="shared" ref="E66:Q66" si="16">+E67</f>
        <v>0</v>
      </c>
      <c r="F66" s="1114">
        <f>+F67+F68</f>
        <v>1466128</v>
      </c>
      <c r="G66" s="1114">
        <f t="shared" si="16"/>
        <v>786744.4</v>
      </c>
      <c r="H66" s="1114">
        <f t="shared" si="16"/>
        <v>818214.17600000009</v>
      </c>
      <c r="I66" s="1114">
        <f t="shared" si="16"/>
        <v>850942.74304000009</v>
      </c>
      <c r="J66" s="1114">
        <f t="shared" si="16"/>
        <v>884980.45276160014</v>
      </c>
      <c r="K66" s="1114">
        <f t="shared" si="16"/>
        <v>920379.67087206419</v>
      </c>
      <c r="L66" s="1114">
        <f t="shared" si="16"/>
        <v>957194.85770694679</v>
      </c>
      <c r="M66" s="1114">
        <f t="shared" si="16"/>
        <v>995482.65201522468</v>
      </c>
      <c r="N66" s="1114">
        <f t="shared" si="16"/>
        <v>1035301.9580958337</v>
      </c>
      <c r="O66" s="1114">
        <f t="shared" si="16"/>
        <v>1076714.0364196671</v>
      </c>
      <c r="P66" s="1114">
        <f t="shared" si="16"/>
        <v>1119782.5978764538</v>
      </c>
      <c r="Q66" s="791">
        <f t="shared" si="16"/>
        <v>1164573.901791512</v>
      </c>
    </row>
    <row r="67" spans="1:17" s="524" customFormat="1" ht="18.75" customHeight="1">
      <c r="A67" s="591" t="s">
        <v>891</v>
      </c>
      <c r="B67" s="1135" t="s">
        <v>389</v>
      </c>
      <c r="C67" s="1115">
        <f>+'Ingresos Proyecciones'!C59*0.41</f>
        <v>0</v>
      </c>
      <c r="D67" s="1115">
        <f>+'Ingresos Proyecciones'!D59*0.41</f>
        <v>0</v>
      </c>
      <c r="E67" s="1115">
        <f>+'Ingresos Proyecciones'!E59*0.41</f>
        <v>0</v>
      </c>
      <c r="F67" s="1115">
        <v>756485</v>
      </c>
      <c r="G67" s="1115">
        <f>+F67*1.04</f>
        <v>786744.4</v>
      </c>
      <c r="H67" s="1115">
        <f t="shared" ref="H67:Q67" si="17">+G67*1.04</f>
        <v>818214.17600000009</v>
      </c>
      <c r="I67" s="1115">
        <f t="shared" si="17"/>
        <v>850942.74304000009</v>
      </c>
      <c r="J67" s="1115">
        <f t="shared" si="17"/>
        <v>884980.45276160014</v>
      </c>
      <c r="K67" s="1115">
        <f t="shared" si="17"/>
        <v>920379.67087206419</v>
      </c>
      <c r="L67" s="1115">
        <f t="shared" si="17"/>
        <v>957194.85770694679</v>
      </c>
      <c r="M67" s="1115">
        <f t="shared" si="17"/>
        <v>995482.65201522468</v>
      </c>
      <c r="N67" s="1115">
        <f t="shared" si="17"/>
        <v>1035301.9580958337</v>
      </c>
      <c r="O67" s="1115">
        <f t="shared" si="17"/>
        <v>1076714.0364196671</v>
      </c>
      <c r="P67" s="1115">
        <f t="shared" si="17"/>
        <v>1119782.5978764538</v>
      </c>
      <c r="Q67" s="792">
        <f t="shared" si="17"/>
        <v>1164573.901791512</v>
      </c>
    </row>
    <row r="68" spans="1:17" s="524" customFormat="1" ht="18.75" customHeight="1">
      <c r="A68" s="591"/>
      <c r="B68" s="1135" t="s">
        <v>496</v>
      </c>
      <c r="C68" s="1115"/>
      <c r="D68" s="1115"/>
      <c r="E68" s="1115"/>
      <c r="F68" s="1115">
        <v>709643</v>
      </c>
      <c r="G68" s="1115"/>
      <c r="H68" s="1115"/>
      <c r="I68" s="1115"/>
      <c r="J68" s="1115"/>
      <c r="K68" s="1115"/>
      <c r="L68" s="1115"/>
      <c r="M68" s="1115"/>
      <c r="N68" s="1115"/>
      <c r="O68" s="1115"/>
      <c r="P68" s="1115"/>
      <c r="Q68" s="792"/>
    </row>
    <row r="69" spans="1:17" s="524" customFormat="1" ht="18.75" customHeight="1">
      <c r="A69" s="581" t="s">
        <v>410</v>
      </c>
      <c r="B69" s="1123" t="s">
        <v>391</v>
      </c>
      <c r="C69" s="1114">
        <f>SUM(C70:C71)</f>
        <v>0</v>
      </c>
      <c r="D69" s="1114">
        <f>SUM(D70:D71)</f>
        <v>0</v>
      </c>
      <c r="E69" s="1114">
        <f t="shared" ref="E69:Q69" si="18">SUM(E70:E71)</f>
        <v>0</v>
      </c>
      <c r="F69" s="1114">
        <f t="shared" si="18"/>
        <v>1472128</v>
      </c>
      <c r="G69" s="1114">
        <f t="shared" si="18"/>
        <v>781984</v>
      </c>
      <c r="H69" s="1114">
        <f t="shared" si="18"/>
        <v>757727</v>
      </c>
      <c r="I69" s="1114">
        <f t="shared" si="18"/>
        <v>788765</v>
      </c>
      <c r="J69" s="1114">
        <f t="shared" si="18"/>
        <v>934111.75199999998</v>
      </c>
      <c r="K69" s="1114">
        <f t="shared" si="18"/>
        <v>972316.22208000009</v>
      </c>
      <c r="L69" s="1114">
        <f t="shared" si="18"/>
        <v>1017048.9541632</v>
      </c>
      <c r="M69" s="1114">
        <f t="shared" si="18"/>
        <v>1074270.9858017282</v>
      </c>
      <c r="N69" s="1114">
        <f t="shared" si="18"/>
        <v>1119841.8252337973</v>
      </c>
      <c r="O69" s="1114">
        <f t="shared" si="18"/>
        <v>1164635.4982431494</v>
      </c>
      <c r="P69" s="1114">
        <f t="shared" si="18"/>
        <v>1211220.9181728754</v>
      </c>
      <c r="Q69" s="791" t="e">
        <f t="shared" si="18"/>
        <v>#REF!</v>
      </c>
    </row>
    <row r="70" spans="1:17" s="524" customFormat="1" ht="18.75" customHeight="1">
      <c r="A70" s="581" t="s">
        <v>411</v>
      </c>
      <c r="B70" s="1135" t="s">
        <v>925</v>
      </c>
      <c r="C70" s="1115">
        <f>+'Gastos Proyecciones'!C73+'Gastos Proyecciones'!C87+'Gastos Proyecciones'!C110+'Gastos Proyecciones'!C124+'Gastos Proyecciones'!C147+'Gastos Proyecciones'!C161</f>
        <v>0</v>
      </c>
      <c r="D70" s="1115">
        <f>+'Gastos Proyecciones'!D73+'Gastos Proyecciones'!D87+'Gastos Proyecciones'!D110+'Gastos Proyecciones'!D124+'Gastos Proyecciones'!D147+'Gastos Proyecciones'!D161</f>
        <v>0</v>
      </c>
      <c r="E70" s="1115">
        <f>+'Gastos Proyecciones'!E73+'Gastos Proyecciones'!E87+'Gastos Proyecciones'!E110+'Gastos Proyecciones'!E124+'Gastos Proyecciones'!E147+'Gastos Proyecciones'!E161</f>
        <v>0</v>
      </c>
      <c r="F70" s="1115">
        <f>+'Gastos Proyecciones'!F73+'Gastos Proyecciones'!F87+'Gastos Proyecciones'!F110+'Gastos Proyecciones'!F124+'Gastos Proyecciones'!F147+'Gastos Proyecciones'!F161</f>
        <v>709643</v>
      </c>
      <c r="G70" s="1115">
        <f>+'Gastos Proyecciones'!G73+'Gastos Proyecciones'!G87+'Gastos Proyecciones'!G110+'Gastos Proyecciones'!G124+'Gastos Proyecciones'!G147+'Gastos Proyecciones'!G161</f>
        <v>0</v>
      </c>
      <c r="H70" s="1115">
        <f>+'Gastos Proyecciones'!H73+'Gastos Proyecciones'!H87+'Gastos Proyecciones'!H110+'Gastos Proyecciones'!H124+'Gastos Proyecciones'!H147+'Gastos Proyecciones'!H161</f>
        <v>0</v>
      </c>
      <c r="I70" s="1115">
        <f>+'Gastos Proyecciones'!I73+'Gastos Proyecciones'!I87+'Gastos Proyecciones'!I110+'Gastos Proyecciones'!I124+'Gastos Proyecciones'!I147+'Gastos Proyecciones'!I161</f>
        <v>32833</v>
      </c>
      <c r="J70" s="1115">
        <f>+'Gastos Proyecciones'!J73+'Gastos Proyecciones'!J87+'Gastos Proyecciones'!J110+'Gastos Proyecciones'!J124+'Gastos Proyecciones'!J147+'Gastos Proyecciones'!J161</f>
        <v>218561.84</v>
      </c>
      <c r="K70" s="1115">
        <f>+'Gastos Proyecciones'!K73+'Gastos Proyecciones'!K87+'Gastos Proyecciones'!K110+'Gastos Proyecciones'!K124+'Gastos Proyecciones'!K147+'Gastos Proyecciones'!K161</f>
        <v>227304.31359999999</v>
      </c>
      <c r="L70" s="1115">
        <f>+'Gastos Proyecciones'!L73+'Gastos Proyecciones'!L87+'Gastos Proyecciones'!L110+'Gastos Proyecciones'!L124+'Gastos Proyecciones'!L147+'Gastos Proyecciones'!L161</f>
        <v>236396.48614399999</v>
      </c>
      <c r="M70" s="1115">
        <f>+'Gastos Proyecciones'!M73+'Gastos Proyecciones'!M87+'Gastos Proyecciones'!M110+'Gastos Proyecciones'!M124+'Gastos Proyecciones'!M147+'Gastos Proyecciones'!M161</f>
        <v>245852.50558976</v>
      </c>
      <c r="N70" s="1115">
        <f>+'Gastos Proyecciones'!N73+'Gastos Proyecciones'!N87+'Gastos Proyecciones'!N110+'Gastos Proyecciones'!N124+'Gastos Proyecciones'!N147+'Gastos Proyecciones'!N161</f>
        <v>255686.60581335041</v>
      </c>
      <c r="O70" s="1115">
        <f>+'Gastos Proyecciones'!O73+'Gastos Proyecciones'!O87+'Gastos Proyecciones'!O110+'Gastos Proyecciones'!O124+'Gastos Proyecciones'!O147+'Gastos Proyecciones'!O161</f>
        <v>265914.07004588447</v>
      </c>
      <c r="P70" s="1115">
        <f>+'Gastos Proyecciones'!P73+'Gastos Proyecciones'!P87+'Gastos Proyecciones'!P110+'Gastos Proyecciones'!P124+'Gastos Proyecciones'!P147+'Gastos Proyecciones'!P161</f>
        <v>276550.63284771983</v>
      </c>
      <c r="Q70" s="792" t="e">
        <f>+'Gastos Proyecciones'!#REF!+'Gastos Proyecciones'!#REF!+'Gastos Proyecciones'!#REF!+'Gastos Proyecciones'!#REF!+'Gastos Proyecciones'!#REF!+'Gastos Proyecciones'!#REF!</f>
        <v>#REF!</v>
      </c>
    </row>
    <row r="71" spans="1:17" s="524" customFormat="1" ht="18.75" customHeight="1">
      <c r="A71" s="581" t="s">
        <v>412</v>
      </c>
      <c r="B71" s="1135" t="s">
        <v>395</v>
      </c>
      <c r="C71" s="1115">
        <f>+'Gastos Proyecciones'!C94+'Gastos Proyecciones'!C131+'Gastos Proyecciones'!C167</f>
        <v>0</v>
      </c>
      <c r="D71" s="1115">
        <f>+'Gastos Proyecciones'!D94+'Gastos Proyecciones'!D131+'Gastos Proyecciones'!D167</f>
        <v>0</v>
      </c>
      <c r="E71" s="1115">
        <f>+'Gastos Proyecciones'!E94+'Gastos Proyecciones'!E131+'Gastos Proyecciones'!E167</f>
        <v>0</v>
      </c>
      <c r="F71" s="1115">
        <f>+'Gastos Proyecciones'!F94+'Gastos Proyecciones'!F131+'Gastos Proyecciones'!F167</f>
        <v>762485</v>
      </c>
      <c r="G71" s="1115">
        <f>+'Gastos Proyecciones'!G94+'Gastos Proyecciones'!G131+'Gastos Proyecciones'!G167</f>
        <v>781984</v>
      </c>
      <c r="H71" s="1115">
        <f>+'Gastos Proyecciones'!H94+'Gastos Proyecciones'!H131+'Gastos Proyecciones'!H167</f>
        <v>757727</v>
      </c>
      <c r="I71" s="1115">
        <f>+'Gastos Proyecciones'!I94+'Gastos Proyecciones'!I131+'Gastos Proyecciones'!I167</f>
        <v>755932</v>
      </c>
      <c r="J71" s="1115">
        <f>+'Gastos Proyecciones'!J94+'Gastos Proyecciones'!J131+'Gastos Proyecciones'!J167</f>
        <v>715549.91200000001</v>
      </c>
      <c r="K71" s="1115">
        <f>+'Gastos Proyecciones'!K94+'Gastos Proyecciones'!K131+'Gastos Proyecciones'!K167</f>
        <v>745011.9084800001</v>
      </c>
      <c r="L71" s="1115">
        <f>+'Gastos Proyecciones'!L94+'Gastos Proyecciones'!L131+'Gastos Proyecciones'!L167</f>
        <v>780652.46801920002</v>
      </c>
      <c r="M71" s="1115">
        <f>+'Gastos Proyecciones'!M94+'Gastos Proyecciones'!M131+'Gastos Proyecciones'!M167</f>
        <v>828418.48021196818</v>
      </c>
      <c r="N71" s="1115">
        <f>+'Gastos Proyecciones'!N94+'Gastos Proyecciones'!N131+'Gastos Proyecciones'!N167</f>
        <v>864155.2194204469</v>
      </c>
      <c r="O71" s="1115">
        <f>+'Gastos Proyecciones'!O94+'Gastos Proyecciones'!O131+'Gastos Proyecciones'!O167</f>
        <v>898721.42819726479</v>
      </c>
      <c r="P71" s="1115">
        <f>+'Gastos Proyecciones'!P94+'Gastos Proyecciones'!P131+'Gastos Proyecciones'!P167</f>
        <v>934670.28532515548</v>
      </c>
      <c r="Q71" s="792" t="e">
        <f>+'Gastos Proyecciones'!#REF!+'Gastos Proyecciones'!#REF!+'Gastos Proyecciones'!#REF!</f>
        <v>#REF!</v>
      </c>
    </row>
    <row r="72" spans="1:17" s="524" customFormat="1" ht="18.75" customHeight="1">
      <c r="A72" s="581" t="s">
        <v>413</v>
      </c>
      <c r="B72" s="1135" t="s">
        <v>397</v>
      </c>
      <c r="C72" s="1114">
        <f>+C66-C69</f>
        <v>0</v>
      </c>
      <c r="D72" s="1114">
        <f>+D66-D69</f>
        <v>0</v>
      </c>
      <c r="E72" s="1114">
        <f t="shared" ref="E72:Q72" si="19">+E66-E69</f>
        <v>0</v>
      </c>
      <c r="F72" s="1114">
        <f t="shared" si="19"/>
        <v>-6000</v>
      </c>
      <c r="G72" s="1114">
        <f t="shared" si="19"/>
        <v>4760.4000000000233</v>
      </c>
      <c r="H72" s="1114">
        <f t="shared" si="19"/>
        <v>60487.176000000094</v>
      </c>
      <c r="I72" s="1114">
        <f t="shared" si="19"/>
        <v>62177.743040000089</v>
      </c>
      <c r="J72" s="1114">
        <f t="shared" si="19"/>
        <v>-49131.299238399835</v>
      </c>
      <c r="K72" s="1114">
        <f t="shared" si="19"/>
        <v>-51936.551207935903</v>
      </c>
      <c r="L72" s="1114">
        <f t="shared" si="19"/>
        <v>-59854.096456253203</v>
      </c>
      <c r="M72" s="1114">
        <f t="shared" si="19"/>
        <v>-78788.333786503528</v>
      </c>
      <c r="N72" s="1114">
        <f t="shared" si="19"/>
        <v>-84539.867137963651</v>
      </c>
      <c r="O72" s="1114">
        <f t="shared" si="19"/>
        <v>-87921.461823482299</v>
      </c>
      <c r="P72" s="1114">
        <f t="shared" si="19"/>
        <v>-91438.320296421647</v>
      </c>
      <c r="Q72" s="791" t="e">
        <f t="shared" si="19"/>
        <v>#REF!</v>
      </c>
    </row>
    <row r="73" spans="1:17" s="524" customFormat="1" ht="18.75" customHeight="1">
      <c r="A73" s="581" t="s">
        <v>414</v>
      </c>
      <c r="B73" s="1123" t="s">
        <v>415</v>
      </c>
      <c r="C73" s="1118"/>
      <c r="D73" s="1118"/>
      <c r="E73" s="1118"/>
      <c r="F73" s="1118"/>
      <c r="G73" s="1118"/>
      <c r="H73" s="1118"/>
      <c r="I73" s="1118"/>
      <c r="J73" s="1118"/>
      <c r="K73" s="1118"/>
      <c r="L73" s="1118"/>
      <c r="M73" s="1118"/>
      <c r="N73" s="1118"/>
      <c r="O73" s="1118"/>
      <c r="P73" s="1118"/>
      <c r="Q73" s="790"/>
    </row>
    <row r="74" spans="1:17" s="524" customFormat="1" ht="18.75" customHeight="1">
      <c r="A74" s="581" t="s">
        <v>416</v>
      </c>
      <c r="B74" s="1123" t="s">
        <v>388</v>
      </c>
      <c r="C74" s="1114">
        <f>+C75</f>
        <v>0</v>
      </c>
      <c r="D74" s="1114">
        <f>+D75</f>
        <v>0</v>
      </c>
      <c r="E74" s="1114">
        <f>+E75</f>
        <v>0</v>
      </c>
      <c r="F74" s="1114">
        <f>+F75+F76+F77</f>
        <v>192727</v>
      </c>
      <c r="G74" s="1114">
        <f t="shared" ref="G74:Q74" si="20">+G75+G76+G77</f>
        <v>200436.08000000002</v>
      </c>
      <c r="H74" s="1114">
        <f t="shared" si="20"/>
        <v>208453.5232</v>
      </c>
      <c r="I74" s="1114">
        <f t="shared" si="20"/>
        <v>216791.664128</v>
      </c>
      <c r="J74" s="1114">
        <f t="shared" si="20"/>
        <v>225463.33069311999</v>
      </c>
      <c r="K74" s="1114">
        <f t="shared" si="20"/>
        <v>234481.8639208448</v>
      </c>
      <c r="L74" s="1114">
        <f t="shared" si="20"/>
        <v>243861.13847767864</v>
      </c>
      <c r="M74" s="1114">
        <f t="shared" si="20"/>
        <v>253615.58401678578</v>
      </c>
      <c r="N74" s="1114">
        <f t="shared" si="20"/>
        <v>263760.20737745723</v>
      </c>
      <c r="O74" s="1114">
        <f t="shared" si="20"/>
        <v>274310.61567255558</v>
      </c>
      <c r="P74" s="1114">
        <f t="shared" si="20"/>
        <v>285283.04029945779</v>
      </c>
      <c r="Q74" s="791">
        <f t="shared" si="20"/>
        <v>296694.36191143608</v>
      </c>
    </row>
    <row r="75" spans="1:17" s="524" customFormat="1" ht="18.75" customHeight="1">
      <c r="A75" s="591" t="s">
        <v>891</v>
      </c>
      <c r="B75" s="1135" t="s">
        <v>389</v>
      </c>
      <c r="C75" s="1115">
        <f>IF(Ingresos!$B$10&lt;=2003,'Ingresos Proyecciones'!C59*0.1,'Ingresos Proyecciones'!C59*0.07)</f>
        <v>0</v>
      </c>
      <c r="D75" s="1115">
        <f>IF((Ingresos!$B$10+1)&lt;=2003,'Ingresos Proyecciones'!D59*0.1,'Ingresos Proyecciones'!D59*0.07)</f>
        <v>0</v>
      </c>
      <c r="E75" s="1115">
        <f>IF(Ingresos!$B$10+2&lt;=2003,'Ingresos Proyecciones'!E59*0.1,'Ingresos Proyecciones'!E59*0.07)</f>
        <v>0</v>
      </c>
      <c r="F75" s="1115">
        <f>73500+56466</f>
        <v>129966</v>
      </c>
      <c r="G75" s="1115">
        <f>+F75*1.04</f>
        <v>135164.64000000001</v>
      </c>
      <c r="H75" s="1115">
        <f t="shared" ref="H75:Q75" si="21">+G75*1.04</f>
        <v>140571.22560000001</v>
      </c>
      <c r="I75" s="1115">
        <f t="shared" si="21"/>
        <v>146194.074624</v>
      </c>
      <c r="J75" s="1115">
        <f t="shared" si="21"/>
        <v>152041.83760895999</v>
      </c>
      <c r="K75" s="1115">
        <f t="shared" si="21"/>
        <v>158123.51111331841</v>
      </c>
      <c r="L75" s="1115">
        <f t="shared" si="21"/>
        <v>164448.45155785116</v>
      </c>
      <c r="M75" s="1115">
        <f t="shared" si="21"/>
        <v>171026.38962016522</v>
      </c>
      <c r="N75" s="1115">
        <f t="shared" si="21"/>
        <v>177867.44520497185</v>
      </c>
      <c r="O75" s="1115">
        <f t="shared" si="21"/>
        <v>184982.14301317075</v>
      </c>
      <c r="P75" s="1115">
        <f t="shared" si="21"/>
        <v>192381.42873369757</v>
      </c>
      <c r="Q75" s="792">
        <f t="shared" si="21"/>
        <v>200076.68588304549</v>
      </c>
    </row>
    <row r="76" spans="1:17" s="524" customFormat="1" ht="18.75" customHeight="1">
      <c r="A76" s="591"/>
      <c r="B76" s="1135" t="s">
        <v>497</v>
      </c>
      <c r="C76" s="1115"/>
      <c r="D76" s="1115"/>
      <c r="E76" s="1115"/>
      <c r="F76" s="1115">
        <f>9731+9490</f>
        <v>19221</v>
      </c>
      <c r="G76" s="1115">
        <f t="shared" ref="G76:Q77" si="22">+F76*1.04</f>
        <v>19989.84</v>
      </c>
      <c r="H76" s="1115">
        <f t="shared" si="22"/>
        <v>20789.4336</v>
      </c>
      <c r="I76" s="1115">
        <f t="shared" si="22"/>
        <v>21621.010944000001</v>
      </c>
      <c r="J76" s="1115">
        <f t="shared" si="22"/>
        <v>22485.851381760003</v>
      </c>
      <c r="K76" s="1115">
        <f t="shared" si="22"/>
        <v>23385.285437030405</v>
      </c>
      <c r="L76" s="1115">
        <f t="shared" si="22"/>
        <v>24320.696854511621</v>
      </c>
      <c r="M76" s="1115">
        <f t="shared" si="22"/>
        <v>25293.524728692086</v>
      </c>
      <c r="N76" s="1115">
        <f t="shared" si="22"/>
        <v>26305.265717839771</v>
      </c>
      <c r="O76" s="1115">
        <f t="shared" si="22"/>
        <v>27357.476346553362</v>
      </c>
      <c r="P76" s="1115">
        <f t="shared" si="22"/>
        <v>28451.775400415496</v>
      </c>
      <c r="Q76" s="792">
        <f t="shared" si="22"/>
        <v>29589.846416432116</v>
      </c>
    </row>
    <row r="77" spans="1:17" s="524" customFormat="1" ht="18.75" customHeight="1">
      <c r="A77" s="591"/>
      <c r="B77" s="1135" t="s">
        <v>498</v>
      </c>
      <c r="C77" s="1115"/>
      <c r="D77" s="1115"/>
      <c r="E77" s="1115"/>
      <c r="F77" s="1115">
        <f>38540+5000</f>
        <v>43540</v>
      </c>
      <c r="G77" s="1115">
        <f t="shared" si="22"/>
        <v>45281.599999999999</v>
      </c>
      <c r="H77" s="1115">
        <f t="shared" si="22"/>
        <v>47092.864000000001</v>
      </c>
      <c r="I77" s="1115">
        <f t="shared" si="22"/>
        <v>48976.578560000002</v>
      </c>
      <c r="J77" s="1115">
        <f t="shared" si="22"/>
        <v>50935.641702400004</v>
      </c>
      <c r="K77" s="1115">
        <f t="shared" si="22"/>
        <v>52973.067370496006</v>
      </c>
      <c r="L77" s="1115">
        <f t="shared" si="22"/>
        <v>55091.990065315847</v>
      </c>
      <c r="M77" s="1115">
        <f t="shared" si="22"/>
        <v>57295.669667928487</v>
      </c>
      <c r="N77" s="1115">
        <f t="shared" si="22"/>
        <v>59587.496454645625</v>
      </c>
      <c r="O77" s="1115">
        <f t="shared" si="22"/>
        <v>61970.996312831448</v>
      </c>
      <c r="P77" s="1115">
        <f t="shared" si="22"/>
        <v>64449.836165344706</v>
      </c>
      <c r="Q77" s="792">
        <f t="shared" si="22"/>
        <v>67027.829611958499</v>
      </c>
    </row>
    <row r="78" spans="1:17" s="524" customFormat="1" ht="18.75" customHeight="1">
      <c r="A78" s="581" t="s">
        <v>417</v>
      </c>
      <c r="B78" s="1123" t="s">
        <v>391</v>
      </c>
      <c r="C78" s="1114">
        <f>SUM(C79:C80)</f>
        <v>0</v>
      </c>
      <c r="D78" s="1114">
        <f>SUM(D79:D80)</f>
        <v>0</v>
      </c>
      <c r="E78" s="1114">
        <f t="shared" ref="E78:Q78" si="23">SUM(E79:E80)</f>
        <v>0</v>
      </c>
      <c r="F78" s="1114">
        <f t="shared" si="23"/>
        <v>194227</v>
      </c>
      <c r="G78" s="1114">
        <f t="shared" si="23"/>
        <v>201996.08000000002</v>
      </c>
      <c r="H78" s="1114">
        <f t="shared" si="23"/>
        <v>0</v>
      </c>
      <c r="I78" s="1114">
        <f t="shared" si="23"/>
        <v>0</v>
      </c>
      <c r="J78" s="1114">
        <f t="shared" si="23"/>
        <v>0</v>
      </c>
      <c r="K78" s="1114">
        <f t="shared" si="23"/>
        <v>0</v>
      </c>
      <c r="L78" s="1114">
        <f t="shared" si="23"/>
        <v>0</v>
      </c>
      <c r="M78" s="1114">
        <f t="shared" si="23"/>
        <v>0</v>
      </c>
      <c r="N78" s="1114">
        <f t="shared" si="23"/>
        <v>0</v>
      </c>
      <c r="O78" s="1114">
        <f t="shared" si="23"/>
        <v>0</v>
      </c>
      <c r="P78" s="1114">
        <f t="shared" si="23"/>
        <v>0</v>
      </c>
      <c r="Q78" s="791" t="e">
        <f t="shared" si="23"/>
        <v>#REF!</v>
      </c>
    </row>
    <row r="79" spans="1:17" s="524" customFormat="1" ht="18.75" customHeight="1">
      <c r="A79" s="581" t="s">
        <v>418</v>
      </c>
      <c r="B79" s="1135" t="s">
        <v>393</v>
      </c>
      <c r="C79" s="1115">
        <f>+'Gastos Proyecciones'!C77+'Gastos Proyecciones'!C79+'Gastos Proyecciones'!C114+'Gastos Proyecciones'!C116+'Gastos Proyecciones'!C151+'Gastos Proyecciones'!C153</f>
        <v>0</v>
      </c>
      <c r="D79" s="1115">
        <f>+'Gastos Proyecciones'!D77+'Gastos Proyecciones'!D79+'Gastos Proyecciones'!D114+'Gastos Proyecciones'!D116+'Gastos Proyecciones'!D151+'Gastos Proyecciones'!D153</f>
        <v>0</v>
      </c>
      <c r="E79" s="1115">
        <f>+'Gastos Proyecciones'!E77+'Gastos Proyecciones'!E79+'Gastos Proyecciones'!E114+'Gastos Proyecciones'!E116+'Gastos Proyecciones'!E151+'Gastos Proyecciones'!E153</f>
        <v>0</v>
      </c>
      <c r="F79" s="1115">
        <f>+'Gastos Proyecciones'!F77+'Gastos Proyecciones'!F79+'Gastos Proyecciones'!F114+'Gastos Proyecciones'!F116+'Gastos Proyecciones'!F151+'Gastos Proyecciones'!F153</f>
        <v>0</v>
      </c>
      <c r="G79" s="1115">
        <f>+'Gastos Proyecciones'!G77+'Gastos Proyecciones'!G79+'Gastos Proyecciones'!G114+'Gastos Proyecciones'!G116+'Gastos Proyecciones'!G151+'Gastos Proyecciones'!G153</f>
        <v>0</v>
      </c>
      <c r="H79" s="1115">
        <f>+'Gastos Proyecciones'!H77+'Gastos Proyecciones'!H79+'Gastos Proyecciones'!H114+'Gastos Proyecciones'!H116+'Gastos Proyecciones'!H151+'Gastos Proyecciones'!H153</f>
        <v>0</v>
      </c>
      <c r="I79" s="1115">
        <f>+'Gastos Proyecciones'!I77+'Gastos Proyecciones'!I79+'Gastos Proyecciones'!I114+'Gastos Proyecciones'!I116+'Gastos Proyecciones'!I151+'Gastos Proyecciones'!I153</f>
        <v>0</v>
      </c>
      <c r="J79" s="1115">
        <f>+'Gastos Proyecciones'!J77+'Gastos Proyecciones'!J79+'Gastos Proyecciones'!J114+'Gastos Proyecciones'!J116+'Gastos Proyecciones'!J151+'Gastos Proyecciones'!J153</f>
        <v>0</v>
      </c>
      <c r="K79" s="1115">
        <f>+'Gastos Proyecciones'!K77+'Gastos Proyecciones'!K79+'Gastos Proyecciones'!K114+'Gastos Proyecciones'!K116+'Gastos Proyecciones'!K151+'Gastos Proyecciones'!K153</f>
        <v>0</v>
      </c>
      <c r="L79" s="1115">
        <f>+'Gastos Proyecciones'!L77+'Gastos Proyecciones'!L79+'Gastos Proyecciones'!L114+'Gastos Proyecciones'!L116+'Gastos Proyecciones'!L151+'Gastos Proyecciones'!L153</f>
        <v>0</v>
      </c>
      <c r="M79" s="1115">
        <f>+'Gastos Proyecciones'!M77+'Gastos Proyecciones'!M79+'Gastos Proyecciones'!M114+'Gastos Proyecciones'!M116+'Gastos Proyecciones'!M151+'Gastos Proyecciones'!M153</f>
        <v>0</v>
      </c>
      <c r="N79" s="1115">
        <f>+'Gastos Proyecciones'!N77+'Gastos Proyecciones'!N79+'Gastos Proyecciones'!N114+'Gastos Proyecciones'!N116+'Gastos Proyecciones'!N151+'Gastos Proyecciones'!N153</f>
        <v>0</v>
      </c>
      <c r="O79" s="1115">
        <f>+'Gastos Proyecciones'!O77+'Gastos Proyecciones'!O79+'Gastos Proyecciones'!O114+'Gastos Proyecciones'!O116+'Gastos Proyecciones'!O151+'Gastos Proyecciones'!O153</f>
        <v>0</v>
      </c>
      <c r="P79" s="1115">
        <f>+'Gastos Proyecciones'!P77+'Gastos Proyecciones'!P79+'Gastos Proyecciones'!P114+'Gastos Proyecciones'!P116+'Gastos Proyecciones'!P151+'Gastos Proyecciones'!P153</f>
        <v>0</v>
      </c>
      <c r="Q79" s="792" t="e">
        <f>+'Gastos Proyecciones'!#REF!+'Gastos Proyecciones'!#REF!+'Gastos Proyecciones'!#REF!+'Gastos Proyecciones'!#REF!+'Gastos Proyecciones'!#REF!+'Gastos Proyecciones'!#REF!</f>
        <v>#REF!</v>
      </c>
    </row>
    <row r="80" spans="1:17" s="524" customFormat="1" ht="18.75" customHeight="1">
      <c r="A80" s="581" t="s">
        <v>419</v>
      </c>
      <c r="B80" s="1135" t="s">
        <v>395</v>
      </c>
      <c r="C80" s="1115">
        <f>+'Gastos Proyecciones'!C98+'Gastos Proyecciones'!C100+'Gastos Proyecciones'!C135+'Gastos Proyecciones'!C137+'Gastos Proyecciones'!C171+'Gastos Proyecciones'!C173</f>
        <v>0</v>
      </c>
      <c r="D80" s="1115">
        <f>+'Gastos Proyecciones'!D98+'Gastos Proyecciones'!D100+'Gastos Proyecciones'!D135+'Gastos Proyecciones'!D137+'Gastos Proyecciones'!D171+'Gastos Proyecciones'!D173</f>
        <v>0</v>
      </c>
      <c r="E80" s="1115">
        <f>+'Gastos Proyecciones'!E98+'Gastos Proyecciones'!E100+'Gastos Proyecciones'!E135+'Gastos Proyecciones'!E137+'Gastos Proyecciones'!E171+'Gastos Proyecciones'!E173</f>
        <v>0</v>
      </c>
      <c r="F80" s="1115">
        <f>+'Gastos Proyecciones'!F98+'Gastos Proyecciones'!F100+'Gastos Proyecciones'!F135+'Gastos Proyecciones'!F137+'Gastos Proyecciones'!F171+'Gastos Proyecciones'!F173</f>
        <v>194227</v>
      </c>
      <c r="G80" s="1115">
        <f>+'Gastos Proyecciones'!G98+'Gastos Proyecciones'!G100+'Gastos Proyecciones'!G135+'Gastos Proyecciones'!G137+'Gastos Proyecciones'!G171+'Gastos Proyecciones'!G173</f>
        <v>201996.08000000002</v>
      </c>
      <c r="H80" s="1115">
        <f>+'Gastos Proyecciones'!H98+'Gastos Proyecciones'!H100+'Gastos Proyecciones'!H135+'Gastos Proyecciones'!H137+'Gastos Proyecciones'!H171+'Gastos Proyecciones'!H173</f>
        <v>0</v>
      </c>
      <c r="I80" s="1115">
        <f>+'Gastos Proyecciones'!I98+'Gastos Proyecciones'!I100+'Gastos Proyecciones'!I135+'Gastos Proyecciones'!I137+'Gastos Proyecciones'!I171+'Gastos Proyecciones'!I173</f>
        <v>0</v>
      </c>
      <c r="J80" s="1115">
        <f>+'Gastos Proyecciones'!J98+'Gastos Proyecciones'!J100+'Gastos Proyecciones'!J135+'Gastos Proyecciones'!J137+'Gastos Proyecciones'!J171+'Gastos Proyecciones'!J173</f>
        <v>0</v>
      </c>
      <c r="K80" s="1115">
        <f>+'Gastos Proyecciones'!K98+'Gastos Proyecciones'!K100+'Gastos Proyecciones'!K135+'Gastos Proyecciones'!K137+'Gastos Proyecciones'!K171+'Gastos Proyecciones'!K173</f>
        <v>0</v>
      </c>
      <c r="L80" s="1115">
        <f>+'Gastos Proyecciones'!L98+'Gastos Proyecciones'!L100+'Gastos Proyecciones'!L135+'Gastos Proyecciones'!L137+'Gastos Proyecciones'!L171+'Gastos Proyecciones'!L173</f>
        <v>0</v>
      </c>
      <c r="M80" s="1115">
        <f>+'Gastos Proyecciones'!M98+'Gastos Proyecciones'!M100+'Gastos Proyecciones'!M135+'Gastos Proyecciones'!M137+'Gastos Proyecciones'!M171+'Gastos Proyecciones'!M173</f>
        <v>0</v>
      </c>
      <c r="N80" s="1115">
        <f>+'Gastos Proyecciones'!N98+'Gastos Proyecciones'!N100+'Gastos Proyecciones'!N135+'Gastos Proyecciones'!N137+'Gastos Proyecciones'!N171+'Gastos Proyecciones'!N173</f>
        <v>0</v>
      </c>
      <c r="O80" s="1115">
        <f>+'Gastos Proyecciones'!O98+'Gastos Proyecciones'!O100+'Gastos Proyecciones'!O135+'Gastos Proyecciones'!O137+'Gastos Proyecciones'!O171+'Gastos Proyecciones'!O173</f>
        <v>0</v>
      </c>
      <c r="P80" s="1115">
        <f>+'Gastos Proyecciones'!P98+'Gastos Proyecciones'!P100+'Gastos Proyecciones'!P135+'Gastos Proyecciones'!P137+'Gastos Proyecciones'!P171+'Gastos Proyecciones'!P173</f>
        <v>0</v>
      </c>
      <c r="Q80" s="792" t="e">
        <f>+'Gastos Proyecciones'!#REF!+'Gastos Proyecciones'!#REF!+'Gastos Proyecciones'!#REF!+'Gastos Proyecciones'!#REF!+'Gastos Proyecciones'!#REF!+'Gastos Proyecciones'!#REF!</f>
        <v>#REF!</v>
      </c>
    </row>
    <row r="81" spans="1:17" s="524" customFormat="1" ht="18.75" customHeight="1">
      <c r="A81" s="581" t="s">
        <v>420</v>
      </c>
      <c r="B81" s="1135" t="s">
        <v>397</v>
      </c>
      <c r="C81" s="1114">
        <f>+C74-C78</f>
        <v>0</v>
      </c>
      <c r="D81" s="1114">
        <f>+D74-D78</f>
        <v>0</v>
      </c>
      <c r="E81" s="1114">
        <f t="shared" ref="E81:Q81" si="24">+E74-E78</f>
        <v>0</v>
      </c>
      <c r="F81" s="1114">
        <f t="shared" si="24"/>
        <v>-1500</v>
      </c>
      <c r="G81" s="1114">
        <f t="shared" si="24"/>
        <v>-1560</v>
      </c>
      <c r="H81" s="1114">
        <f t="shared" si="24"/>
        <v>208453.5232</v>
      </c>
      <c r="I81" s="1114">
        <f t="shared" si="24"/>
        <v>216791.664128</v>
      </c>
      <c r="J81" s="1114">
        <f t="shared" si="24"/>
        <v>225463.33069311999</v>
      </c>
      <c r="K81" s="1114">
        <f t="shared" si="24"/>
        <v>234481.8639208448</v>
      </c>
      <c r="L81" s="1114">
        <f t="shared" si="24"/>
        <v>243861.13847767864</v>
      </c>
      <c r="M81" s="1114">
        <f t="shared" si="24"/>
        <v>253615.58401678578</v>
      </c>
      <c r="N81" s="1114">
        <f t="shared" si="24"/>
        <v>263760.20737745723</v>
      </c>
      <c r="O81" s="1114">
        <f t="shared" si="24"/>
        <v>274310.61567255558</v>
      </c>
      <c r="P81" s="1114">
        <f t="shared" si="24"/>
        <v>285283.04029945779</v>
      </c>
      <c r="Q81" s="791" t="e">
        <f t="shared" si="24"/>
        <v>#REF!</v>
      </c>
    </row>
    <row r="82" spans="1:17" s="524" customFormat="1" ht="18.75" customHeight="1">
      <c r="A82" s="581" t="s">
        <v>421</v>
      </c>
      <c r="B82" s="1137" t="s">
        <v>422</v>
      </c>
      <c r="C82" s="1119"/>
      <c r="D82" s="1119"/>
      <c r="E82" s="1119"/>
      <c r="F82" s="1119"/>
      <c r="G82" s="1119"/>
      <c r="H82" s="1119"/>
      <c r="I82" s="1119"/>
      <c r="J82" s="1119"/>
      <c r="K82" s="1119"/>
      <c r="L82" s="1119"/>
      <c r="M82" s="1119"/>
      <c r="N82" s="1119"/>
      <c r="O82" s="1119"/>
      <c r="P82" s="1119"/>
      <c r="Q82" s="793"/>
    </row>
    <row r="83" spans="1:17" s="524" customFormat="1" ht="18.75" customHeight="1">
      <c r="A83" s="581" t="s">
        <v>423</v>
      </c>
      <c r="B83" s="1123" t="s">
        <v>388</v>
      </c>
      <c r="C83" s="1120" t="e">
        <f>+C84+C91+C95+C96</f>
        <v>#REF!</v>
      </c>
      <c r="D83" s="1120" t="e">
        <f t="shared" ref="D83:Q83" si="25">+D84+D91+D95+D96</f>
        <v>#REF!</v>
      </c>
      <c r="E83" s="1120" t="e">
        <f t="shared" si="25"/>
        <v>#REF!</v>
      </c>
      <c r="F83" s="1120" t="e">
        <f>+F84+F91+F95+F96</f>
        <v>#REF!</v>
      </c>
      <c r="G83" s="1120" t="e">
        <f t="shared" si="25"/>
        <v>#REF!</v>
      </c>
      <c r="H83" s="1120" t="e">
        <f t="shared" si="25"/>
        <v>#REF!</v>
      </c>
      <c r="I83" s="1120" t="e">
        <f t="shared" si="25"/>
        <v>#REF!</v>
      </c>
      <c r="J83" s="1120" t="e">
        <f t="shared" si="25"/>
        <v>#REF!</v>
      </c>
      <c r="K83" s="1120" t="e">
        <f t="shared" si="25"/>
        <v>#REF!</v>
      </c>
      <c r="L83" s="1120" t="e">
        <f t="shared" si="25"/>
        <v>#REF!</v>
      </c>
      <c r="M83" s="1120" t="e">
        <f t="shared" si="25"/>
        <v>#REF!</v>
      </c>
      <c r="N83" s="1120" t="e">
        <f t="shared" si="25"/>
        <v>#REF!</v>
      </c>
      <c r="O83" s="1120" t="e">
        <f t="shared" si="25"/>
        <v>#REF!</v>
      </c>
      <c r="P83" s="1120" t="e">
        <f t="shared" si="25"/>
        <v>#REF!</v>
      </c>
      <c r="Q83" s="794" t="e">
        <f t="shared" si="25"/>
        <v>#REF!</v>
      </c>
    </row>
    <row r="84" spans="1:17" s="524" customFormat="1" ht="18.75" customHeight="1">
      <c r="A84" s="581" t="s">
        <v>424</v>
      </c>
      <c r="B84" s="1137" t="s">
        <v>425</v>
      </c>
      <c r="C84" s="1120" t="e">
        <f>SUM(C85:C90)</f>
        <v>#REF!</v>
      </c>
      <c r="D84" s="1120" t="e">
        <f t="shared" ref="D84:Q84" si="26">SUM(D85:D90)</f>
        <v>#REF!</v>
      </c>
      <c r="E84" s="1120" t="e">
        <f t="shared" si="26"/>
        <v>#REF!</v>
      </c>
      <c r="F84" s="1120" t="e">
        <f t="shared" si="26"/>
        <v>#REF!</v>
      </c>
      <c r="G84" s="1120" t="e">
        <f t="shared" si="26"/>
        <v>#REF!</v>
      </c>
      <c r="H84" s="1120" t="e">
        <f t="shared" si="26"/>
        <v>#REF!</v>
      </c>
      <c r="I84" s="1120" t="e">
        <f t="shared" si="26"/>
        <v>#REF!</v>
      </c>
      <c r="J84" s="1120" t="e">
        <f t="shared" si="26"/>
        <v>#REF!</v>
      </c>
      <c r="K84" s="1120" t="e">
        <f t="shared" si="26"/>
        <v>#REF!</v>
      </c>
      <c r="L84" s="1120" t="e">
        <f t="shared" si="26"/>
        <v>#REF!</v>
      </c>
      <c r="M84" s="1120" t="e">
        <f t="shared" si="26"/>
        <v>#REF!</v>
      </c>
      <c r="N84" s="1120" t="e">
        <f t="shared" si="26"/>
        <v>#REF!</v>
      </c>
      <c r="O84" s="1120" t="e">
        <f t="shared" si="26"/>
        <v>#REF!</v>
      </c>
      <c r="P84" s="1120" t="e">
        <f t="shared" si="26"/>
        <v>#REF!</v>
      </c>
      <c r="Q84" s="794" t="e">
        <f t="shared" si="26"/>
        <v>#REF!</v>
      </c>
    </row>
    <row r="85" spans="1:17" s="524" customFormat="1" ht="30" hidden="1" customHeight="1">
      <c r="A85" s="611" t="s">
        <v>814</v>
      </c>
      <c r="B85" s="1138" t="s">
        <v>426</v>
      </c>
      <c r="C85" s="1121" t="e">
        <f>+'Ingresos Proyecciones'!C14-'Ley 617'!P11</f>
        <v>#REF!</v>
      </c>
      <c r="D85" s="1121" t="e">
        <f>+'Ingresos Proyecciones'!D14-'Ley 617'!Q11</f>
        <v>#REF!</v>
      </c>
      <c r="E85" s="1121" t="e">
        <f>+'Ingresos Proyecciones'!E14-'Ley 617'!R11</f>
        <v>#REF!</v>
      </c>
      <c r="F85" s="1121" t="e">
        <f>+'Ingresos Proyecciones'!F14-'Ley 617'!S11</f>
        <v>#REF!</v>
      </c>
      <c r="G85" s="1121" t="e">
        <f>+'Ingresos Proyecciones'!G14-'Ley 617'!T11</f>
        <v>#REF!</v>
      </c>
      <c r="H85" s="1121" t="e">
        <f>+'Ingresos Proyecciones'!H14-'Ley 617'!U11</f>
        <v>#REF!</v>
      </c>
      <c r="I85" s="1121">
        <f>+'Ingresos Proyecciones'!I14-'Ley 617'!V11</f>
        <v>0</v>
      </c>
      <c r="J85" s="1121">
        <f>+'Ingresos Proyecciones'!J14-'Ley 617'!W11</f>
        <v>0</v>
      </c>
      <c r="K85" s="1121">
        <f>+'Ingresos Proyecciones'!K14-'Ley 617'!X11</f>
        <v>0</v>
      </c>
      <c r="L85" s="1121">
        <f>+'Ingresos Proyecciones'!L14-'Ley 617'!Y11</f>
        <v>0</v>
      </c>
      <c r="M85" s="1121">
        <f>+'Ingresos Proyecciones'!M14-'Ley 617'!Z11</f>
        <v>0</v>
      </c>
      <c r="N85" s="1121">
        <f>+'Ingresos Proyecciones'!N14-'Ley 617'!AA11</f>
        <v>0</v>
      </c>
      <c r="O85" s="1121">
        <f>+'Ingresos Proyecciones'!O14-'Ley 617'!AB11</f>
        <v>0</v>
      </c>
      <c r="P85" s="1121">
        <f>+'Ingresos Proyecciones'!P14-'Ley 617'!AC11</f>
        <v>0</v>
      </c>
      <c r="Q85" s="795" t="e">
        <f>+'Ingresos Proyecciones'!#REF!-'Ley 617'!#REF!</f>
        <v>#REF!</v>
      </c>
    </row>
    <row r="86" spans="1:17" s="524" customFormat="1" ht="15" hidden="1" customHeight="1">
      <c r="A86" s="611" t="s">
        <v>361</v>
      </c>
      <c r="B86" s="1138" t="s">
        <v>427</v>
      </c>
      <c r="C86" s="1121" t="e">
        <f>+'Ingresos Proyecciones'!C16-'Ley 617'!P12</f>
        <v>#REF!</v>
      </c>
      <c r="D86" s="1121" t="e">
        <f>+'Ingresos Proyecciones'!D16-'Ley 617'!Q12</f>
        <v>#REF!</v>
      </c>
      <c r="E86" s="1121" t="e">
        <f>+'Ingresos Proyecciones'!E16-'Ley 617'!R12</f>
        <v>#REF!</v>
      </c>
      <c r="F86" s="1121" t="e">
        <f>+'Ingresos Proyecciones'!F16-'Ley 617'!S12</f>
        <v>#REF!</v>
      </c>
      <c r="G86" s="1121" t="e">
        <f>+'Ingresos Proyecciones'!G16-'Ley 617'!T12</f>
        <v>#REF!</v>
      </c>
      <c r="H86" s="1121" t="e">
        <f>+'Ingresos Proyecciones'!H16-'Ley 617'!U12</f>
        <v>#REF!</v>
      </c>
      <c r="I86" s="1121">
        <f>+'Ingresos Proyecciones'!I16-'Ley 617'!V12</f>
        <v>0</v>
      </c>
      <c r="J86" s="1121">
        <f>+'Ingresos Proyecciones'!J16-'Ley 617'!W12</f>
        <v>0</v>
      </c>
      <c r="K86" s="1121">
        <f>+'Ingresos Proyecciones'!K16-'Ley 617'!X12</f>
        <v>0</v>
      </c>
      <c r="L86" s="1121">
        <f>+'Ingresos Proyecciones'!L16-'Ley 617'!Y12</f>
        <v>0</v>
      </c>
      <c r="M86" s="1121">
        <f>+'Ingresos Proyecciones'!M16-'Ley 617'!Z12</f>
        <v>0</v>
      </c>
      <c r="N86" s="1121">
        <f>+'Ingresos Proyecciones'!N16-'Ley 617'!AA12</f>
        <v>0</v>
      </c>
      <c r="O86" s="1121">
        <f>+'Ingresos Proyecciones'!O16-'Ley 617'!AB12</f>
        <v>0</v>
      </c>
      <c r="P86" s="1121">
        <f>+'Ingresos Proyecciones'!P16-'Ley 617'!AC12</f>
        <v>0</v>
      </c>
      <c r="Q86" s="795" t="e">
        <f>+'Ingresos Proyecciones'!#REF!-'Ley 617'!#REF!</f>
        <v>#REF!</v>
      </c>
    </row>
    <row r="87" spans="1:17" s="524" customFormat="1" ht="15" hidden="1" customHeight="1">
      <c r="A87" s="611" t="s">
        <v>820</v>
      </c>
      <c r="B87" s="1138" t="s">
        <v>428</v>
      </c>
      <c r="C87" s="1121" t="e">
        <f>+'Ingresos Proyecciones'!C17-'Ley 617'!P13</f>
        <v>#REF!</v>
      </c>
      <c r="D87" s="1121" t="e">
        <f>+'Ingresos Proyecciones'!D17-'Ley 617'!Q13</f>
        <v>#REF!</v>
      </c>
      <c r="E87" s="1121" t="e">
        <f>+'Ingresos Proyecciones'!E17-'Ley 617'!R13</f>
        <v>#REF!</v>
      </c>
      <c r="F87" s="1121" t="e">
        <f>+'Ingresos Proyecciones'!F17-'Ley 617'!S13</f>
        <v>#REF!</v>
      </c>
      <c r="G87" s="1121" t="e">
        <f>+'Ingresos Proyecciones'!G17-'Ley 617'!T13</f>
        <v>#REF!</v>
      </c>
      <c r="H87" s="1121" t="e">
        <f>+'Ingresos Proyecciones'!H17-'Ley 617'!U13</f>
        <v>#REF!</v>
      </c>
      <c r="I87" s="1121">
        <f>+'Ingresos Proyecciones'!I17-'Ley 617'!V13</f>
        <v>0</v>
      </c>
      <c r="J87" s="1121">
        <f>+'Ingresos Proyecciones'!J17-'Ley 617'!W13</f>
        <v>0</v>
      </c>
      <c r="K87" s="1121">
        <f>+'Ingresos Proyecciones'!K17-'Ley 617'!X13</f>
        <v>0</v>
      </c>
      <c r="L87" s="1121">
        <f>+'Ingresos Proyecciones'!L17-'Ley 617'!Y13</f>
        <v>0</v>
      </c>
      <c r="M87" s="1121">
        <f>+'Ingresos Proyecciones'!M17-'Ley 617'!Z13</f>
        <v>0</v>
      </c>
      <c r="N87" s="1121">
        <f>+'Ingresos Proyecciones'!N17-'Ley 617'!AA13</f>
        <v>0</v>
      </c>
      <c r="O87" s="1121">
        <f>+'Ingresos Proyecciones'!O17-'Ley 617'!AB13</f>
        <v>0</v>
      </c>
      <c r="P87" s="1121">
        <f>+'Ingresos Proyecciones'!P17-'Ley 617'!AC13</f>
        <v>0</v>
      </c>
      <c r="Q87" s="795" t="e">
        <f>+'Ingresos Proyecciones'!#REF!-'Ley 617'!#REF!</f>
        <v>#REF!</v>
      </c>
    </row>
    <row r="88" spans="1:17" s="524" customFormat="1" ht="15" hidden="1" customHeight="1">
      <c r="A88" s="611" t="s">
        <v>822</v>
      </c>
      <c r="B88" s="1138" t="s">
        <v>429</v>
      </c>
      <c r="C88" s="1121" t="e">
        <f>('Ingresos Proyecciones'!C18-'Ley 617'!P14)*(1-'Ingresos Proyecciones'!C148)</f>
        <v>#REF!</v>
      </c>
      <c r="D88" s="1121" t="e">
        <f>('Ingresos Proyecciones'!D18-'Ley 617'!Q14)*(1-'Ingresos Proyecciones'!D148)</f>
        <v>#REF!</v>
      </c>
      <c r="E88" s="1121" t="e">
        <f>('Ingresos Proyecciones'!E18-'Ley 617'!R14)*(1-'Ingresos Proyecciones'!E148)</f>
        <v>#REF!</v>
      </c>
      <c r="F88" s="1121" t="e">
        <f>('Ingresos Proyecciones'!F18-'Ley 617'!S14)*(1-'Ingresos Proyecciones'!F148)</f>
        <v>#REF!</v>
      </c>
      <c r="G88" s="1121" t="e">
        <f>('Ingresos Proyecciones'!G18-'Ley 617'!T14)*(1-'Ingresos Proyecciones'!G148)</f>
        <v>#REF!</v>
      </c>
      <c r="H88" s="1121" t="e">
        <f>('Ingresos Proyecciones'!H18-'Ley 617'!U14)*(1-'Ingresos Proyecciones'!H148)</f>
        <v>#REF!</v>
      </c>
      <c r="I88" s="1121">
        <f>('Ingresos Proyecciones'!I18-'Ley 617'!V14)*(1-'Ingresos Proyecciones'!I148)</f>
        <v>0</v>
      </c>
      <c r="J88" s="1121">
        <f>('Ingresos Proyecciones'!J18-'Ley 617'!W14)*(1-'Ingresos Proyecciones'!J148)</f>
        <v>0</v>
      </c>
      <c r="K88" s="1121">
        <f>('Ingresos Proyecciones'!K18-'Ley 617'!X14)*(1-'Ingresos Proyecciones'!K148)</f>
        <v>0</v>
      </c>
      <c r="L88" s="1121">
        <f>('Ingresos Proyecciones'!L18-'Ley 617'!Y14)*(1-'Ingresos Proyecciones'!L148)</f>
        <v>0</v>
      </c>
      <c r="M88" s="1121">
        <f>('Ingresos Proyecciones'!M18-'Ley 617'!Z14)*(1-'Ingresos Proyecciones'!M148)</f>
        <v>0</v>
      </c>
      <c r="N88" s="1121">
        <f>('Ingresos Proyecciones'!N18-'Ley 617'!AA14)*(1-'Ingresos Proyecciones'!N148)</f>
        <v>0</v>
      </c>
      <c r="O88" s="1121">
        <f>('Ingresos Proyecciones'!O18-'Ley 617'!AB14)*(1-'Ingresos Proyecciones'!O148)</f>
        <v>0</v>
      </c>
      <c r="P88" s="1121">
        <f>('Ingresos Proyecciones'!P18-'Ley 617'!AC14)*(1-'Ingresos Proyecciones'!P148)</f>
        <v>0</v>
      </c>
      <c r="Q88" s="795" t="e">
        <f>('Ingresos Proyecciones'!#REF!-'Ley 617'!#REF!)*(1-'Ingresos Proyecciones'!#REF!)</f>
        <v>#REF!</v>
      </c>
    </row>
    <row r="89" spans="1:17" s="524" customFormat="1" ht="15" hidden="1" customHeight="1">
      <c r="A89" s="611" t="s">
        <v>833</v>
      </c>
      <c r="B89" s="1138" t="s">
        <v>430</v>
      </c>
      <c r="C89" s="1121" t="e">
        <f>('Ingresos Proyecciones'!C26-'Ley 617'!#REF!)*(1-'Ingresos Proyecciones'!C149)</f>
        <v>#REF!</v>
      </c>
      <c r="D89" s="1121" t="e">
        <f>('Ingresos Proyecciones'!D26-'Ley 617'!#REF!)*(1-'Ingresos Proyecciones'!D149)</f>
        <v>#REF!</v>
      </c>
      <c r="E89" s="1121" t="e">
        <f>('Ingresos Proyecciones'!E26-'Ley 617'!#REF!)*(1-'Ingresos Proyecciones'!E149)</f>
        <v>#REF!</v>
      </c>
      <c r="F89" s="1121" t="e">
        <f>('Ingresos Proyecciones'!F26-'Ley 617'!#REF!)*(1-'Ingresos Proyecciones'!F149)</f>
        <v>#REF!</v>
      </c>
      <c r="G89" s="1121" t="e">
        <f>('Ingresos Proyecciones'!G26-'Ley 617'!#REF!)*(1-'Ingresos Proyecciones'!G149)</f>
        <v>#REF!</v>
      </c>
      <c r="H89" s="1121" t="e">
        <f>('Ingresos Proyecciones'!H26-'Ley 617'!#REF!)*(1-'Ingresos Proyecciones'!H149)</f>
        <v>#REF!</v>
      </c>
      <c r="I89" s="1121" t="e">
        <f>('Ingresos Proyecciones'!I26-'Ley 617'!#REF!)*(1-'Ingresos Proyecciones'!I149)</f>
        <v>#REF!</v>
      </c>
      <c r="J89" s="1121" t="e">
        <f>('Ingresos Proyecciones'!J26-'Ley 617'!#REF!)*(1-'Ingresos Proyecciones'!J149)</f>
        <v>#REF!</v>
      </c>
      <c r="K89" s="1121" t="e">
        <f>('Ingresos Proyecciones'!K26-'Ley 617'!#REF!)*(1-'Ingresos Proyecciones'!K149)</f>
        <v>#REF!</v>
      </c>
      <c r="L89" s="1121" t="e">
        <f>('Ingresos Proyecciones'!L26-'Ley 617'!#REF!)*(1-'Ingresos Proyecciones'!L149)</f>
        <v>#REF!</v>
      </c>
      <c r="M89" s="1121" t="e">
        <f>('Ingresos Proyecciones'!M26-'Ley 617'!#REF!)*(1-'Ingresos Proyecciones'!M149)</f>
        <v>#REF!</v>
      </c>
      <c r="N89" s="1121" t="e">
        <f>('Ingresos Proyecciones'!N26-'Ley 617'!#REF!)*(1-'Ingresos Proyecciones'!N149)</f>
        <v>#REF!</v>
      </c>
      <c r="O89" s="1121" t="e">
        <f>('Ingresos Proyecciones'!O26-'Ley 617'!#REF!)*(1-'Ingresos Proyecciones'!O149)</f>
        <v>#REF!</v>
      </c>
      <c r="P89" s="1121" t="e">
        <f>('Ingresos Proyecciones'!P26-'Ley 617'!#REF!)*(1-'Ingresos Proyecciones'!P149)</f>
        <v>#REF!</v>
      </c>
      <c r="Q89" s="795" t="e">
        <f>('Ingresos Proyecciones'!#REF!-'Ley 617'!#REF!)*(1-'Ingresos Proyecciones'!#REF!)</f>
        <v>#REF!</v>
      </c>
    </row>
    <row r="90" spans="1:17" s="524" customFormat="1" ht="15" hidden="1" customHeight="1">
      <c r="A90" s="581" t="s">
        <v>431</v>
      </c>
      <c r="B90" s="1138" t="s">
        <v>432</v>
      </c>
      <c r="C90" s="1121" t="e">
        <f>+('Ingresos Proyecciones'!C13-'Ingresos Proyecciones'!C14-'Ingresos Proyecciones'!C16-'Ingresos Proyecciones'!C17-'Ingresos Proyecciones'!C18-'Ingresos Proyecciones'!C20-'Ingresos Proyecciones'!C26)-('Ley 617'!P10-'Ley 617'!P11-'Ley 617'!P12-'Ley 617'!P13-'Ley 617'!P14-'Ley 617'!P16-'Ley 617'!#REF!)</f>
        <v>#REF!</v>
      </c>
      <c r="D90" s="1121" t="e">
        <f>+('Ingresos Proyecciones'!D13-'Ingresos Proyecciones'!D14-'Ingresos Proyecciones'!D16-'Ingresos Proyecciones'!D17-'Ingresos Proyecciones'!D18-'Ingresos Proyecciones'!D20-'Ingresos Proyecciones'!D26)-('Ley 617'!Q10-'Ley 617'!Q11-'Ley 617'!Q12-'Ley 617'!Q13-'Ley 617'!Q14-'Ley 617'!Q16-'Ley 617'!#REF!)</f>
        <v>#REF!</v>
      </c>
      <c r="E90" s="1121" t="e">
        <f>+('Ingresos Proyecciones'!E13-'Ingresos Proyecciones'!E14-'Ingresos Proyecciones'!E16-'Ingresos Proyecciones'!E17-'Ingresos Proyecciones'!E18-'Ingresos Proyecciones'!E20-'Ingresos Proyecciones'!E26)-('Ley 617'!R10-'Ley 617'!R11-'Ley 617'!R12-'Ley 617'!R13-'Ley 617'!R14-'Ley 617'!R16-'Ley 617'!#REF!)</f>
        <v>#REF!</v>
      </c>
      <c r="F90" s="1121">
        <v>0</v>
      </c>
      <c r="G90" s="1121">
        <v>0</v>
      </c>
      <c r="H90" s="1121">
        <v>0</v>
      </c>
      <c r="I90" s="1121">
        <v>0</v>
      </c>
      <c r="J90" s="1121">
        <v>0</v>
      </c>
      <c r="K90" s="1121">
        <v>0</v>
      </c>
      <c r="L90" s="1121">
        <v>0</v>
      </c>
      <c r="M90" s="1121">
        <v>0</v>
      </c>
      <c r="N90" s="1121">
        <v>0</v>
      </c>
      <c r="O90" s="1121">
        <v>0</v>
      </c>
      <c r="P90" s="1121">
        <v>0</v>
      </c>
      <c r="Q90" s="795">
        <v>0</v>
      </c>
    </row>
    <row r="91" spans="1:17" s="524" customFormat="1" ht="18.75" customHeight="1">
      <c r="A91" s="581" t="s">
        <v>433</v>
      </c>
      <c r="B91" s="1123" t="s">
        <v>434</v>
      </c>
      <c r="C91" s="1120" t="e">
        <f>+C92+C93+C94</f>
        <v>#REF!</v>
      </c>
      <c r="D91" s="1120" t="e">
        <f t="shared" ref="D91:Q91" si="27">+D92+D93+D94</f>
        <v>#REF!</v>
      </c>
      <c r="E91" s="1120" t="e">
        <f t="shared" si="27"/>
        <v>#REF!</v>
      </c>
      <c r="F91" s="1120">
        <f>+F92+F93+F94</f>
        <v>869873</v>
      </c>
      <c r="G91" s="1120">
        <f t="shared" si="27"/>
        <v>904667.92</v>
      </c>
      <c r="H91" s="1120">
        <f t="shared" si="27"/>
        <v>940854.63679999998</v>
      </c>
      <c r="I91" s="1120">
        <f t="shared" si="27"/>
        <v>978488.82227200014</v>
      </c>
      <c r="J91" s="1120">
        <f t="shared" si="27"/>
        <v>1017628.3751628802</v>
      </c>
      <c r="K91" s="1120">
        <f t="shared" si="27"/>
        <v>1058333.5101693952</v>
      </c>
      <c r="L91" s="1120">
        <f t="shared" si="27"/>
        <v>1100666.8505761712</v>
      </c>
      <c r="M91" s="1120">
        <f t="shared" si="27"/>
        <v>1144693.5245992183</v>
      </c>
      <c r="N91" s="1120">
        <f t="shared" si="27"/>
        <v>1190481.2655831871</v>
      </c>
      <c r="O91" s="1120">
        <f t="shared" si="27"/>
        <v>1238100.5162065146</v>
      </c>
      <c r="P91" s="1120">
        <f t="shared" si="27"/>
        <v>1287624.5368547752</v>
      </c>
      <c r="Q91" s="794">
        <f t="shared" si="27"/>
        <v>1339129.5183289663</v>
      </c>
    </row>
    <row r="92" spans="1:17" s="524" customFormat="1" ht="18.75" customHeight="1">
      <c r="A92" s="591" t="s">
        <v>891</v>
      </c>
      <c r="B92" s="1135" t="s">
        <v>435</v>
      </c>
      <c r="C92" s="1121">
        <f>IF(Ingresos!$B$10&lt;=2003,('Ingresos Proyecciones'!C59*0.49*(1-'Ingresos Proyecciones'!C152)),('Ingresos Proyecciones'!C59*0.42*(1-'Ingresos Proyecciones'!C152)))</f>
        <v>0</v>
      </c>
      <c r="D92" s="1121">
        <f>IF(Ingresos!$B$10+1&lt;=2003,('Ingresos Proyecciones'!D59*0.49*(1-'Ingresos Proyecciones'!D152)),('Ingresos Proyecciones'!D59*0.42*(1-'Ingresos Proyecciones'!D152)))</f>
        <v>0</v>
      </c>
      <c r="E92" s="1121">
        <f>IF(Ingresos!$B$10+2&lt;=2003,('Ingresos Proyecciones'!E59*0.49*(1-'Ingresos Proyecciones'!E152)),('Ingresos Proyecciones'!E59*0.42*(1-'Ingresos Proyecciones'!E152)))</f>
        <v>0</v>
      </c>
      <c r="F92" s="1121">
        <v>776982</v>
      </c>
      <c r="G92" s="1121">
        <f>+F92*1.04</f>
        <v>808061.28</v>
      </c>
      <c r="H92" s="1121">
        <f t="shared" ref="H92:Q92" si="28">+G92*1.04</f>
        <v>840383.73120000004</v>
      </c>
      <c r="I92" s="1121">
        <f t="shared" si="28"/>
        <v>873999.08044800011</v>
      </c>
      <c r="J92" s="1121">
        <f t="shared" si="28"/>
        <v>908959.04366592015</v>
      </c>
      <c r="K92" s="1121">
        <f t="shared" si="28"/>
        <v>945317.40541255695</v>
      </c>
      <c r="L92" s="1121">
        <f t="shared" si="28"/>
        <v>983130.1016290593</v>
      </c>
      <c r="M92" s="1121">
        <f t="shared" si="28"/>
        <v>1022455.3056942218</v>
      </c>
      <c r="N92" s="1121">
        <f t="shared" si="28"/>
        <v>1063353.5179219907</v>
      </c>
      <c r="O92" s="1121">
        <f t="shared" si="28"/>
        <v>1105887.6586388703</v>
      </c>
      <c r="P92" s="1121">
        <f t="shared" si="28"/>
        <v>1150123.1649844253</v>
      </c>
      <c r="Q92" s="848">
        <f t="shared" si="28"/>
        <v>1196128.0915838024</v>
      </c>
    </row>
    <row r="93" spans="1:17" s="524" customFormat="1" ht="18.75" customHeight="1">
      <c r="A93" s="587" t="s">
        <v>895</v>
      </c>
      <c r="B93" s="1135" t="s">
        <v>498</v>
      </c>
      <c r="C93" s="1121" t="e">
        <f>+('Ingresos Proyecciones'!C65-'Ley 617'!P43)*(1-'Ingresos Proyecciones'!C153)</f>
        <v>#REF!</v>
      </c>
      <c r="D93" s="1121" t="e">
        <f>+('Ingresos Proyecciones'!D65-'Ley 617'!Q43)*(1-'Ingresos Proyecciones'!D153)</f>
        <v>#REF!</v>
      </c>
      <c r="E93" s="1121" t="e">
        <f>+('Ingresos Proyecciones'!E65-'Ley 617'!R43)*(1-'Ingresos Proyecciones'!E153)</f>
        <v>#REF!</v>
      </c>
      <c r="F93" s="1121">
        <f>71966+20925</f>
        <v>92891</v>
      </c>
      <c r="G93" s="1121">
        <f t="shared" ref="G93:Q93" si="29">+F93*1.04</f>
        <v>96606.64</v>
      </c>
      <c r="H93" s="1121">
        <f t="shared" si="29"/>
        <v>100470.9056</v>
      </c>
      <c r="I93" s="1121">
        <f t="shared" si="29"/>
        <v>104489.741824</v>
      </c>
      <c r="J93" s="1121">
        <f t="shared" si="29"/>
        <v>108669.33149696</v>
      </c>
      <c r="K93" s="1121">
        <f t="shared" si="29"/>
        <v>113016.10475683841</v>
      </c>
      <c r="L93" s="1121">
        <f t="shared" si="29"/>
        <v>117536.74894711195</v>
      </c>
      <c r="M93" s="1121">
        <f t="shared" si="29"/>
        <v>122238.21890499644</v>
      </c>
      <c r="N93" s="1121">
        <f t="shared" si="29"/>
        <v>127127.74766119629</v>
      </c>
      <c r="O93" s="1121">
        <f t="shared" si="29"/>
        <v>132212.85756764415</v>
      </c>
      <c r="P93" s="1121">
        <f t="shared" si="29"/>
        <v>137501.37187034992</v>
      </c>
      <c r="Q93" s="848">
        <f t="shared" si="29"/>
        <v>143001.42674516392</v>
      </c>
    </row>
    <row r="94" spans="1:17" s="524" customFormat="1" ht="18.75" customHeight="1">
      <c r="A94" s="581" t="s">
        <v>437</v>
      </c>
      <c r="B94" s="1135" t="s">
        <v>557</v>
      </c>
      <c r="C94" s="1121" t="e">
        <f>+('Ingresos Proyecciones'!C35-'Ley 617'!P25)-'Ingresos Proyecciones'!C47-'Ingresos Proyecciones'!C52-'Ingresos Proyecciones'!C59-('Ingresos Proyecciones'!C65-'Ley 617'!P43)-'Ingresos Proyecciones'!C67-'Ingresos Proyecciones'!C68</f>
        <v>#REF!</v>
      </c>
      <c r="D94" s="1121" t="e">
        <f>+('Ingresos Proyecciones'!D35-'Ley 617'!Q25)-'Ingresos Proyecciones'!D47-'Ingresos Proyecciones'!D52-'Ingresos Proyecciones'!D59-('Ingresos Proyecciones'!D65-'Ley 617'!Q43)-'Ingresos Proyecciones'!D67-'Ingresos Proyecciones'!D68</f>
        <v>#REF!</v>
      </c>
      <c r="E94" s="1121" t="e">
        <f>+('Ingresos Proyecciones'!E35-'Ley 617'!R25)-'Ingresos Proyecciones'!E47-'Ingresos Proyecciones'!E52-'Ingresos Proyecciones'!E59-('Ingresos Proyecciones'!E65-'Ley 617'!R43)-'Ingresos Proyecciones'!E67-'Ingresos Proyecciones'!E68</f>
        <v>#REF!</v>
      </c>
      <c r="F94" s="1121">
        <v>0</v>
      </c>
      <c r="G94" s="1121">
        <v>0</v>
      </c>
      <c r="H94" s="1121">
        <v>0</v>
      </c>
      <c r="I94" s="1121">
        <v>0</v>
      </c>
      <c r="J94" s="1121">
        <v>0</v>
      </c>
      <c r="K94" s="1121">
        <v>0</v>
      </c>
      <c r="L94" s="1121">
        <v>0</v>
      </c>
      <c r="M94" s="1121">
        <v>0</v>
      </c>
      <c r="N94" s="1121">
        <v>0</v>
      </c>
      <c r="O94" s="1121">
        <v>0</v>
      </c>
      <c r="P94" s="1121">
        <v>0</v>
      </c>
      <c r="Q94" s="795">
        <v>0</v>
      </c>
    </row>
    <row r="95" spans="1:17" s="524" customFormat="1" ht="18.75" customHeight="1">
      <c r="A95" s="581" t="s">
        <v>439</v>
      </c>
      <c r="B95" s="1123" t="s">
        <v>440</v>
      </c>
      <c r="C95" s="1120">
        <f>+'Ingresos Proyecciones'!C113*0.15+('Ingresos Proyecciones'!C59-'Fuentes y Usos Proyecciones'!C67-'Fuentes y Usos Proyecciones'!C75-'Fuentes y Usos Proyecciones'!C92-'Fuentes y Usos Proyecciones'!C127)</f>
        <v>0</v>
      </c>
      <c r="D95" s="1120">
        <f>+'Ingresos Proyecciones'!D113*0.15+('Ingresos Proyecciones'!D59-'Fuentes y Usos Proyecciones'!D67-'Fuentes y Usos Proyecciones'!D75-'Fuentes y Usos Proyecciones'!D92-'Fuentes y Usos Proyecciones'!D127)</f>
        <v>0</v>
      </c>
      <c r="E95" s="1120">
        <f>+'Ingresos Proyecciones'!E113*0.15+('Ingresos Proyecciones'!E59-'Fuentes y Usos Proyecciones'!E67-'Fuentes y Usos Proyecciones'!E75-'Fuentes y Usos Proyecciones'!E92-'Fuentes y Usos Proyecciones'!E127)</f>
        <v>0</v>
      </c>
      <c r="F95" s="1120">
        <f>+'Ingresos Proyecciones'!F113*0.15+('Ingresos Proyecciones'!F59-'Fuentes y Usos Proyecciones'!F67-'Fuentes y Usos Proyecciones'!F75-'Fuentes y Usos Proyecciones'!F92-'Fuentes y Usos Proyecciones'!F127)</f>
        <v>151</v>
      </c>
      <c r="G95" s="1120">
        <f>+'Ingresos Proyecciones'!G113*0.15+('Ingresos Proyecciones'!G59-'Fuentes y Usos Proyecciones'!G67-'Fuentes y Usos Proyecciones'!G75-'Fuentes y Usos Proyecciones'!G92-'Fuentes y Usos Proyecciones'!G127)</f>
        <v>157.04000000003725</v>
      </c>
      <c r="H95" s="1120">
        <f>+'Ingresos Proyecciones'!H113*0.15+('Ingresos Proyecciones'!H59-'Fuentes y Usos Proyecciones'!H67-'Fuentes y Usos Proyecciones'!H75-'Fuentes y Usos Proyecciones'!H92-'Fuentes y Usos Proyecciones'!H127)</f>
        <v>-520405.13280000014</v>
      </c>
      <c r="I95" s="1120">
        <f>+'Ingresos Proyecciones'!I113*0.15+('Ingresos Proyecciones'!I59-'Fuentes y Usos Proyecciones'!I67-'Fuentes y Usos Proyecciones'!I75-'Fuentes y Usos Proyecciones'!I92-'Fuentes y Usos Proyecciones'!I127)</f>
        <v>-437637.8981120002</v>
      </c>
      <c r="J95" s="1120">
        <f>+'Ingresos Proyecciones'!J113*0.15+('Ingresos Proyecciones'!J59-'Fuentes y Usos Proyecciones'!J67-'Fuentes y Usos Proyecciones'!J75-'Fuentes y Usos Proyecciones'!J92-'Fuentes y Usos Proyecciones'!J127)</f>
        <v>-667217.33403648029</v>
      </c>
      <c r="K95" s="1120">
        <f>+'Ingresos Proyecciones'!K113*0.15+('Ingresos Proyecciones'!K59-'Fuentes y Usos Proyecciones'!K67-'Fuentes y Usos Proyecciones'!K75-'Fuentes y Usos Proyecciones'!K92-'Fuentes y Usos Proyecciones'!K127)</f>
        <v>-693906.02739793947</v>
      </c>
      <c r="L95" s="1120">
        <f>+'Ingresos Proyecciones'!L113*0.15+('Ingresos Proyecciones'!L59-'Fuentes y Usos Proyecciones'!L67-'Fuentes y Usos Proyecciones'!L75-'Fuentes y Usos Proyecciones'!L92-'Fuentes y Usos Proyecciones'!L127)</f>
        <v>-721662.268493857</v>
      </c>
      <c r="M95" s="1120">
        <f>+'Ingresos Proyecciones'!M113*0.15+('Ingresos Proyecciones'!M59-'Fuentes y Usos Proyecciones'!M67-'Fuentes y Usos Proyecciones'!M75-'Fuentes y Usos Proyecciones'!M92-'Fuentes y Usos Proyecciones'!M127)</f>
        <v>-750528.7592336114</v>
      </c>
      <c r="N95" s="1120">
        <f>+'Ingresos Proyecciones'!N113*0.15+('Ingresos Proyecciones'!N59-'Fuentes y Usos Proyecciones'!N67-'Fuentes y Usos Proyecciones'!N75-'Fuentes y Usos Proyecciones'!N92-'Fuentes y Usos Proyecciones'!N127)</f>
        <v>-780549.90960295592</v>
      </c>
      <c r="O95" s="1120">
        <f>+'Ingresos Proyecciones'!O113*0.15+('Ingresos Proyecciones'!O59-'Fuentes y Usos Proyecciones'!O67-'Fuentes y Usos Proyecciones'!O75-'Fuentes y Usos Proyecciones'!O92-'Fuentes y Usos Proyecciones'!O127)</f>
        <v>-811771.90598707413</v>
      </c>
      <c r="P95" s="1120">
        <f>+'Ingresos Proyecciones'!P113*0.15+('Ingresos Proyecciones'!P59-'Fuentes y Usos Proyecciones'!P67-'Fuentes y Usos Proyecciones'!P75-'Fuentes y Usos Proyecciones'!P92-'Fuentes y Usos Proyecciones'!P127)</f>
        <v>-844242.78222655738</v>
      </c>
      <c r="Q95" s="851" t="e">
        <f>+'Ingresos Proyecciones'!#REF!*0.15+('Ingresos Proyecciones'!#REF!-'Fuentes y Usos Proyecciones'!Q67-'Fuentes y Usos Proyecciones'!Q75-'Fuentes y Usos Proyecciones'!Q92-'Fuentes y Usos Proyecciones'!Q127)</f>
        <v>#REF!</v>
      </c>
    </row>
    <row r="96" spans="1:17" s="524" customFormat="1" ht="18.75" customHeight="1">
      <c r="A96" s="581" t="s">
        <v>441</v>
      </c>
      <c r="B96" s="1123" t="s">
        <v>442</v>
      </c>
      <c r="C96" s="1120" t="e">
        <f t="shared" ref="C96:Q96" si="30">SUM(C97:C107)</f>
        <v>#REF!</v>
      </c>
      <c r="D96" s="1120" t="e">
        <f t="shared" si="30"/>
        <v>#REF!</v>
      </c>
      <c r="E96" s="1120" t="e">
        <f t="shared" si="30"/>
        <v>#REF!</v>
      </c>
      <c r="F96" s="1120" t="e">
        <f t="shared" si="30"/>
        <v>#REF!</v>
      </c>
      <c r="G96" s="1120" t="e">
        <f t="shared" si="30"/>
        <v>#REF!</v>
      </c>
      <c r="H96" s="1120">
        <f t="shared" si="30"/>
        <v>540.79999999999995</v>
      </c>
      <c r="I96" s="1120">
        <f t="shared" si="30"/>
        <v>0</v>
      </c>
      <c r="J96" s="1120">
        <f t="shared" si="30"/>
        <v>0</v>
      </c>
      <c r="K96" s="1120">
        <f t="shared" si="30"/>
        <v>0</v>
      </c>
      <c r="L96" s="1120">
        <f t="shared" si="30"/>
        <v>0</v>
      </c>
      <c r="M96" s="1120">
        <f t="shared" si="30"/>
        <v>0</v>
      </c>
      <c r="N96" s="1120">
        <f t="shared" si="30"/>
        <v>0</v>
      </c>
      <c r="O96" s="1120">
        <f t="shared" si="30"/>
        <v>0</v>
      </c>
      <c r="P96" s="1120">
        <f t="shared" si="30"/>
        <v>0</v>
      </c>
      <c r="Q96" s="794" t="e">
        <f t="shared" si="30"/>
        <v>#REF!</v>
      </c>
    </row>
    <row r="97" spans="1:17" s="524" customFormat="1" ht="15" hidden="1" customHeight="1">
      <c r="A97" s="591" t="s">
        <v>956</v>
      </c>
      <c r="B97" s="1139" t="s">
        <v>926</v>
      </c>
      <c r="C97" s="1121">
        <f>+'Ingresos Proyecciones'!C80</f>
        <v>0</v>
      </c>
      <c r="D97" s="1121">
        <f>+'Ingresos Proyecciones'!D80</f>
        <v>0</v>
      </c>
      <c r="E97" s="1121">
        <f>+'Ingresos Proyecciones'!E80</f>
        <v>0</v>
      </c>
      <c r="F97" s="1121">
        <v>0</v>
      </c>
      <c r="G97" s="1121">
        <v>0</v>
      </c>
      <c r="H97" s="1121">
        <v>0</v>
      </c>
      <c r="I97" s="1121">
        <v>0</v>
      </c>
      <c r="J97" s="1121">
        <v>0</v>
      </c>
      <c r="K97" s="1121">
        <v>0</v>
      </c>
      <c r="L97" s="1121">
        <v>0</v>
      </c>
      <c r="M97" s="1121">
        <v>0</v>
      </c>
      <c r="N97" s="1121">
        <v>0</v>
      </c>
      <c r="O97" s="1121">
        <v>0</v>
      </c>
      <c r="P97" s="1121">
        <v>0</v>
      </c>
      <c r="Q97" s="795">
        <v>0</v>
      </c>
    </row>
    <row r="98" spans="1:17" s="524" customFormat="1" ht="15" hidden="1" customHeight="1">
      <c r="A98" s="611" t="s">
        <v>1037</v>
      </c>
      <c r="B98" s="1135" t="s">
        <v>445</v>
      </c>
      <c r="C98" s="1121">
        <f>(+'Ingresos Proyecciones'!C120)*(1-'Ingresos Proyecciones'!C155)</f>
        <v>0</v>
      </c>
      <c r="D98" s="1121">
        <f>(+'Ingresos Proyecciones'!D120)*(1-'Ingresos Proyecciones'!D155)</f>
        <v>0</v>
      </c>
      <c r="E98" s="1121">
        <f>(+'Ingresos Proyecciones'!E120)*(1-'Ingresos Proyecciones'!E155)</f>
        <v>0</v>
      </c>
      <c r="F98" s="1121">
        <f>(+'Ingresos Proyecciones'!F120)*(1-'Ingresos Proyecciones'!F155)</f>
        <v>0</v>
      </c>
      <c r="G98" s="1121">
        <f>(+'Ingresos Proyecciones'!G120)*(1-'Ingresos Proyecciones'!G155)</f>
        <v>0</v>
      </c>
      <c r="H98" s="1121">
        <f>(+'Ingresos Proyecciones'!H120)*(1-'Ingresos Proyecciones'!H155)</f>
        <v>0</v>
      </c>
      <c r="I98" s="1121">
        <f>(+'Ingresos Proyecciones'!I120)*(1-'Ingresos Proyecciones'!I155)</f>
        <v>0</v>
      </c>
      <c r="J98" s="1121">
        <f>(+'Ingresos Proyecciones'!J120)*(1-'Ingresos Proyecciones'!J155)</f>
        <v>0</v>
      </c>
      <c r="K98" s="1121">
        <f>(+'Ingresos Proyecciones'!K120)*(1-'Ingresos Proyecciones'!K155)</f>
        <v>0</v>
      </c>
      <c r="L98" s="1121">
        <f>(+'Ingresos Proyecciones'!L120)*(1-'Ingresos Proyecciones'!L155)</f>
        <v>0</v>
      </c>
      <c r="M98" s="1121">
        <f>(+'Ingresos Proyecciones'!M120)*(1-'Ingresos Proyecciones'!M155)</f>
        <v>0</v>
      </c>
      <c r="N98" s="1121">
        <f>(+'Ingresos Proyecciones'!N120)*(1-'Ingresos Proyecciones'!N155)</f>
        <v>0</v>
      </c>
      <c r="O98" s="1121">
        <f>(+'Ingresos Proyecciones'!O120)*(1-'Ingresos Proyecciones'!O155)</f>
        <v>0</v>
      </c>
      <c r="P98" s="1121">
        <f>(+'Ingresos Proyecciones'!P120)*(1-'Ingresos Proyecciones'!P155)</f>
        <v>0</v>
      </c>
      <c r="Q98" s="795" t="e">
        <f>(+'Ingresos Proyecciones'!#REF!)*(1-'Ingresos Proyecciones'!#REF!)</f>
        <v>#REF!</v>
      </c>
    </row>
    <row r="99" spans="1:17" s="524" customFormat="1" ht="15" hidden="1" customHeight="1">
      <c r="A99" s="591" t="s">
        <v>446</v>
      </c>
      <c r="B99" s="1135" t="s">
        <v>958</v>
      </c>
      <c r="C99" s="1121">
        <f>+'Ingresos Proyecciones'!C81</f>
        <v>0</v>
      </c>
      <c r="D99" s="1121">
        <f>+'Ingresos Proyecciones'!D81</f>
        <v>0</v>
      </c>
      <c r="E99" s="1121">
        <f>+'Ingresos Proyecciones'!E81</f>
        <v>0</v>
      </c>
      <c r="F99" s="1121">
        <f>+'Ingresos Proyecciones'!F81</f>
        <v>0</v>
      </c>
      <c r="G99" s="1121">
        <f>+'Ingresos Proyecciones'!G81</f>
        <v>0</v>
      </c>
      <c r="H99" s="1121">
        <f>+'Ingresos Proyecciones'!H81</f>
        <v>0</v>
      </c>
      <c r="I99" s="1121">
        <f>+'Ingresos Proyecciones'!I81</f>
        <v>0</v>
      </c>
      <c r="J99" s="1121">
        <f>+'Ingresos Proyecciones'!J81</f>
        <v>0</v>
      </c>
      <c r="K99" s="1121">
        <f>+'Ingresos Proyecciones'!K81</f>
        <v>0</v>
      </c>
      <c r="L99" s="1121">
        <f>+'Ingresos Proyecciones'!L81</f>
        <v>0</v>
      </c>
      <c r="M99" s="1121">
        <f>+'Ingresos Proyecciones'!M81</f>
        <v>0</v>
      </c>
      <c r="N99" s="1121">
        <f>+'Ingresos Proyecciones'!N81</f>
        <v>0</v>
      </c>
      <c r="O99" s="1121">
        <f>+'Ingresos Proyecciones'!O81</f>
        <v>0</v>
      </c>
      <c r="P99" s="1121">
        <f>+'Ingresos Proyecciones'!P81</f>
        <v>0</v>
      </c>
      <c r="Q99" s="795" t="e">
        <f>+'Ingresos Proyecciones'!#REF!</f>
        <v>#REF!</v>
      </c>
    </row>
    <row r="100" spans="1:17" s="524" customFormat="1" ht="15" hidden="1" customHeight="1">
      <c r="A100" s="591" t="s">
        <v>959</v>
      </c>
      <c r="B100" s="1135" t="s">
        <v>447</v>
      </c>
      <c r="C100" s="1121">
        <f>(+'Ingresos Proyecciones'!C82)*(1-'Ingresos Proyecciones'!C150)</f>
        <v>0</v>
      </c>
      <c r="D100" s="1121">
        <f>(+'Ingresos Proyecciones'!D82)*(1-'Ingresos Proyecciones'!D150)</f>
        <v>0</v>
      </c>
      <c r="E100" s="1121">
        <f>(+'Ingresos Proyecciones'!E82)*(1-'Ingresos Proyecciones'!E150)</f>
        <v>0</v>
      </c>
      <c r="F100" s="1121">
        <f>(+'Ingresos Proyecciones'!F82)*(1-'Ingresos Proyecciones'!F150)</f>
        <v>0</v>
      </c>
      <c r="G100" s="1121">
        <f>(+'Ingresos Proyecciones'!G82)*(1-'Ingresos Proyecciones'!G150)</f>
        <v>0</v>
      </c>
      <c r="H100" s="1121">
        <f>(+'Ingresos Proyecciones'!H82)*(1-'Ingresos Proyecciones'!H150)</f>
        <v>0</v>
      </c>
      <c r="I100" s="1121">
        <f>(+'Ingresos Proyecciones'!I82)*(1-'Ingresos Proyecciones'!I150)</f>
        <v>0</v>
      </c>
      <c r="J100" s="1121">
        <f>(+'Ingresos Proyecciones'!J82)*(1-'Ingresos Proyecciones'!J150)</f>
        <v>0</v>
      </c>
      <c r="K100" s="1121">
        <f>(+'Ingresos Proyecciones'!K82)*(1-'Ingresos Proyecciones'!K150)</f>
        <v>0</v>
      </c>
      <c r="L100" s="1121">
        <f>(+'Ingresos Proyecciones'!L82)*(1-'Ingresos Proyecciones'!L150)</f>
        <v>0</v>
      </c>
      <c r="M100" s="1121">
        <f>(+'Ingresos Proyecciones'!M82)*(1-'Ingresos Proyecciones'!M150)</f>
        <v>0</v>
      </c>
      <c r="N100" s="1121">
        <f>(+'Ingresos Proyecciones'!N82)*(1-'Ingresos Proyecciones'!N150)</f>
        <v>0</v>
      </c>
      <c r="O100" s="1121">
        <f>(+'Ingresos Proyecciones'!O82)*(1-'Ingresos Proyecciones'!O150)</f>
        <v>0</v>
      </c>
      <c r="P100" s="1121">
        <f>(+'Ingresos Proyecciones'!P82)*(1-'Ingresos Proyecciones'!P150)</f>
        <v>0</v>
      </c>
      <c r="Q100" s="795" t="e">
        <f>(+'Ingresos Proyecciones'!#REF!)*(1-'Ingresos Proyecciones'!#REF!)</f>
        <v>#REF!</v>
      </c>
    </row>
    <row r="101" spans="1:17" s="524" customFormat="1" ht="15" hidden="1" customHeight="1">
      <c r="A101" s="581" t="s">
        <v>448</v>
      </c>
      <c r="B101" s="1135" t="s">
        <v>449</v>
      </c>
      <c r="C101" s="1121">
        <f>+'Ingresos Proyecciones'!C91-'Ingresos Proyecciones'!C99</f>
        <v>0</v>
      </c>
      <c r="D101" s="1121">
        <f>+'Ingresos Proyecciones'!D91-'Ingresos Proyecciones'!D99</f>
        <v>0</v>
      </c>
      <c r="E101" s="1121">
        <f>+'Ingresos Proyecciones'!E91-'Ingresos Proyecciones'!E99</f>
        <v>0</v>
      </c>
      <c r="F101" s="1121">
        <f>+'Ingresos Proyecciones'!F91-'Ingresos Proyecciones'!F99</f>
        <v>0</v>
      </c>
      <c r="G101" s="1121">
        <f>+'Ingresos Proyecciones'!G91-'Ingresos Proyecciones'!G99</f>
        <v>0</v>
      </c>
      <c r="H101" s="1121">
        <f>+'Ingresos Proyecciones'!H91-'Ingresos Proyecciones'!H99</f>
        <v>0</v>
      </c>
      <c r="I101" s="1121">
        <f>+'Ingresos Proyecciones'!I91-'Ingresos Proyecciones'!I99</f>
        <v>0</v>
      </c>
      <c r="J101" s="1121">
        <f>+'Ingresos Proyecciones'!J91-'Ingresos Proyecciones'!J99</f>
        <v>0</v>
      </c>
      <c r="K101" s="1121">
        <f>+'Ingresos Proyecciones'!K91-'Ingresos Proyecciones'!K99</f>
        <v>0</v>
      </c>
      <c r="L101" s="1121">
        <f>+'Ingresos Proyecciones'!L91-'Ingresos Proyecciones'!L99</f>
        <v>0</v>
      </c>
      <c r="M101" s="1121">
        <f>+'Ingresos Proyecciones'!M91-'Ingresos Proyecciones'!M99</f>
        <v>0</v>
      </c>
      <c r="N101" s="1121">
        <f>+'Ingresos Proyecciones'!N91-'Ingresos Proyecciones'!N99</f>
        <v>0</v>
      </c>
      <c r="O101" s="1121">
        <f>+'Ingresos Proyecciones'!O91-'Ingresos Proyecciones'!O99</f>
        <v>0</v>
      </c>
      <c r="P101" s="1121">
        <f>+'Ingresos Proyecciones'!P91-'Ingresos Proyecciones'!P99</f>
        <v>0</v>
      </c>
      <c r="Q101" s="795" t="e">
        <f>+'Ingresos Proyecciones'!#REF!-'Ingresos Proyecciones'!#REF!</f>
        <v>#REF!</v>
      </c>
    </row>
    <row r="102" spans="1:17" s="524" customFormat="1" ht="18.75" customHeight="1">
      <c r="A102" s="581" t="s">
        <v>558</v>
      </c>
      <c r="B102" s="1135" t="s">
        <v>450</v>
      </c>
      <c r="C102" s="1121" t="e">
        <f>+'Ingresos Proyecciones'!C103-('Ingresos Proyecciones'!C113*0.15)-('Ingresos Proyecciones'!C106*'Ingresos Proyecciones'!C151)</f>
        <v>#REF!</v>
      </c>
      <c r="D102" s="1121" t="e">
        <f>+'Ingresos Proyecciones'!D103-('Ingresos Proyecciones'!D113*0.15)-('Ingresos Proyecciones'!D106*'Ingresos Proyecciones'!D151)</f>
        <v>#REF!</v>
      </c>
      <c r="E102" s="1121" t="e">
        <f>+'Ingresos Proyecciones'!E103-('Ingresos Proyecciones'!E113*0.15)-('Ingresos Proyecciones'!E106*'Ingresos Proyecciones'!E151)</f>
        <v>#REF!</v>
      </c>
      <c r="F102" s="1121" t="e">
        <f>+'Ingresos Proyecciones'!F103-('Ingresos Proyecciones'!F113*0.15)-('Ingresos Proyecciones'!F106*'Ingresos Proyecciones'!F151)</f>
        <v>#REF!</v>
      </c>
      <c r="G102" s="1121" t="e">
        <f>+'Ingresos Proyecciones'!G103-('Ingresos Proyecciones'!G113*0.15)-('Ingresos Proyecciones'!G106*'Ingresos Proyecciones'!G151)</f>
        <v>#REF!</v>
      </c>
      <c r="H102" s="1121">
        <f>+'Ingresos Proyecciones'!H103-('Ingresos Proyecciones'!H113*0.15)-('Ingresos Proyecciones'!H106*'Ingresos Proyecciones'!H151)</f>
        <v>0</v>
      </c>
      <c r="I102" s="1121">
        <f>+'Ingresos Proyecciones'!I103-('Ingresos Proyecciones'!I113*0.15)-('Ingresos Proyecciones'!I106*'Ingresos Proyecciones'!I151)</f>
        <v>0</v>
      </c>
      <c r="J102" s="1121">
        <f>+'Ingresos Proyecciones'!J103-('Ingresos Proyecciones'!J113*0.15)-('Ingresos Proyecciones'!J106*'Ingresos Proyecciones'!J151)</f>
        <v>0</v>
      </c>
      <c r="K102" s="1121">
        <f>+'Ingresos Proyecciones'!K103-('Ingresos Proyecciones'!K113*0.15)-('Ingresos Proyecciones'!K106*'Ingresos Proyecciones'!K151)</f>
        <v>0</v>
      </c>
      <c r="L102" s="1121">
        <f>+'Ingresos Proyecciones'!L103-('Ingresos Proyecciones'!L113*0.15)-('Ingresos Proyecciones'!L106*'Ingresos Proyecciones'!L151)</f>
        <v>0</v>
      </c>
      <c r="M102" s="1121">
        <f>+'Ingresos Proyecciones'!M103-('Ingresos Proyecciones'!M113*0.15)-('Ingresos Proyecciones'!M106*'Ingresos Proyecciones'!M151)</f>
        <v>0</v>
      </c>
      <c r="N102" s="1121">
        <f>+'Ingresos Proyecciones'!N103-('Ingresos Proyecciones'!N113*0.15)-('Ingresos Proyecciones'!N106*'Ingresos Proyecciones'!N151)</f>
        <v>0</v>
      </c>
      <c r="O102" s="1121">
        <f>+'Ingresos Proyecciones'!O103-('Ingresos Proyecciones'!O113*0.15)-('Ingresos Proyecciones'!O106*'Ingresos Proyecciones'!O151)</f>
        <v>0</v>
      </c>
      <c r="P102" s="1121">
        <f>+'Ingresos Proyecciones'!P103-('Ingresos Proyecciones'!P113*0.15)-('Ingresos Proyecciones'!P106*'Ingresos Proyecciones'!P151)</f>
        <v>0</v>
      </c>
      <c r="Q102" s="795" t="e">
        <f>+'Ingresos Proyecciones'!#REF!-('Ingresos Proyecciones'!#REF!*0.15)-('Ingresos Proyecciones'!#REF!*'Ingresos Proyecciones'!#REF!)</f>
        <v>#REF!</v>
      </c>
    </row>
    <row r="103" spans="1:17" s="524" customFormat="1" ht="18.75" customHeight="1">
      <c r="A103" s="591" t="s">
        <v>1025</v>
      </c>
      <c r="B103" s="1135" t="s">
        <v>452</v>
      </c>
      <c r="C103" s="1121">
        <f>(+'Ingresos Proyecciones'!C114)*(1-'Ingresos Proyecciones'!C154)</f>
        <v>0</v>
      </c>
      <c r="D103" s="1121">
        <f>(+'Ingresos Proyecciones'!D114)*(1-'Ingresos Proyecciones'!D154)</f>
        <v>0</v>
      </c>
      <c r="E103" s="1121">
        <f>(+'Ingresos Proyecciones'!E114)*(1-'Ingresos Proyecciones'!E154)</f>
        <v>0</v>
      </c>
      <c r="F103" s="1121">
        <f>(+'Ingresos Proyecciones'!F114)*(1-'Ingresos Proyecciones'!F154)</f>
        <v>500</v>
      </c>
      <c r="G103" s="1121">
        <f>(+'Ingresos Proyecciones'!G114)*(1-'Ingresos Proyecciones'!G154)</f>
        <v>520</v>
      </c>
      <c r="H103" s="1121">
        <f>(+'Ingresos Proyecciones'!H114)*(1-'Ingresos Proyecciones'!H154)</f>
        <v>540.79999999999995</v>
      </c>
      <c r="I103" s="1121">
        <f>(+'Ingresos Proyecciones'!I114)*(1-'Ingresos Proyecciones'!I154)</f>
        <v>0</v>
      </c>
      <c r="J103" s="1121">
        <f>(+'Ingresos Proyecciones'!J114)*(1-'Ingresos Proyecciones'!J154)</f>
        <v>0</v>
      </c>
      <c r="K103" s="1121">
        <f>(+'Ingresos Proyecciones'!K114)*(1-'Ingresos Proyecciones'!K154)</f>
        <v>0</v>
      </c>
      <c r="L103" s="1121">
        <f>(+'Ingresos Proyecciones'!L114)*(1-'Ingresos Proyecciones'!L154)</f>
        <v>0</v>
      </c>
      <c r="M103" s="1121">
        <f>(+'Ingresos Proyecciones'!M114)*(1-'Ingresos Proyecciones'!M154)</f>
        <v>0</v>
      </c>
      <c r="N103" s="1121">
        <f>(+'Ingresos Proyecciones'!N114)*(1-'Ingresos Proyecciones'!N154)</f>
        <v>0</v>
      </c>
      <c r="O103" s="1121">
        <f>(+'Ingresos Proyecciones'!O114)*(1-'Ingresos Proyecciones'!O154)</f>
        <v>0</v>
      </c>
      <c r="P103" s="1121">
        <f>(+'Ingresos Proyecciones'!P114)*(1-'Ingresos Proyecciones'!P154)</f>
        <v>0</v>
      </c>
      <c r="Q103" s="795" t="e">
        <f>(+'Ingresos Proyecciones'!#REF!)*(1-'Ingresos Proyecciones'!#REF!)</f>
        <v>#REF!</v>
      </c>
    </row>
    <row r="104" spans="1:17" s="524" customFormat="1" ht="15" hidden="1" customHeight="1">
      <c r="A104" s="591" t="s">
        <v>1027</v>
      </c>
      <c r="B104" s="1135" t="s">
        <v>453</v>
      </c>
      <c r="C104" s="1121">
        <f>+'Ingresos Proyecciones'!C115</f>
        <v>0</v>
      </c>
      <c r="D104" s="1121">
        <f>+'Ingresos Proyecciones'!D115</f>
        <v>0</v>
      </c>
      <c r="E104" s="1121">
        <f>+'Ingresos Proyecciones'!E115</f>
        <v>0</v>
      </c>
      <c r="F104" s="1121">
        <f>+'Ingresos Proyecciones'!F115</f>
        <v>0</v>
      </c>
      <c r="G104" s="1121">
        <f>+'Ingresos Proyecciones'!G115</f>
        <v>0</v>
      </c>
      <c r="H104" s="1121">
        <f>+'Ingresos Proyecciones'!H115</f>
        <v>0</v>
      </c>
      <c r="I104" s="1121">
        <f>+'Ingresos Proyecciones'!I115</f>
        <v>0</v>
      </c>
      <c r="J104" s="1121">
        <f>+'Ingresos Proyecciones'!J115</f>
        <v>0</v>
      </c>
      <c r="K104" s="1121">
        <f>+'Ingresos Proyecciones'!K115</f>
        <v>0</v>
      </c>
      <c r="L104" s="1121">
        <f>+'Ingresos Proyecciones'!L115</f>
        <v>0</v>
      </c>
      <c r="M104" s="1121">
        <f>+'Ingresos Proyecciones'!M115</f>
        <v>0</v>
      </c>
      <c r="N104" s="1121">
        <f>+'Ingresos Proyecciones'!N115</f>
        <v>0</v>
      </c>
      <c r="O104" s="1121">
        <f>+'Ingresos Proyecciones'!O115</f>
        <v>0</v>
      </c>
      <c r="P104" s="1121">
        <f>+'Ingresos Proyecciones'!P115</f>
        <v>0</v>
      </c>
      <c r="Q104" s="795" t="e">
        <f>+'Ingresos Proyecciones'!#REF!</f>
        <v>#REF!</v>
      </c>
    </row>
    <row r="105" spans="1:17" s="524" customFormat="1" ht="15" hidden="1" customHeight="1">
      <c r="A105" s="591" t="s">
        <v>1029</v>
      </c>
      <c r="B105" s="1135" t="s">
        <v>454</v>
      </c>
      <c r="C105" s="1121">
        <f>+'Ingresos Proyecciones'!C116</f>
        <v>0</v>
      </c>
      <c r="D105" s="1121">
        <f>+'Ingresos Proyecciones'!D116</f>
        <v>0</v>
      </c>
      <c r="E105" s="1121">
        <f>+'Ingresos Proyecciones'!E116</f>
        <v>0</v>
      </c>
      <c r="F105" s="1121">
        <f>+'Ingresos Proyecciones'!F116</f>
        <v>0</v>
      </c>
      <c r="G105" s="1121">
        <f>+'Ingresos Proyecciones'!G116</f>
        <v>0</v>
      </c>
      <c r="H105" s="1121">
        <f>+'Ingresos Proyecciones'!H116</f>
        <v>0</v>
      </c>
      <c r="I105" s="1121">
        <f>+'Ingresos Proyecciones'!I116</f>
        <v>0</v>
      </c>
      <c r="J105" s="1121">
        <f>+'Ingresos Proyecciones'!J116</f>
        <v>0</v>
      </c>
      <c r="K105" s="1121">
        <f>+'Ingresos Proyecciones'!K116</f>
        <v>0</v>
      </c>
      <c r="L105" s="1121">
        <f>+'Ingresos Proyecciones'!L116</f>
        <v>0</v>
      </c>
      <c r="M105" s="1121">
        <f>+'Ingresos Proyecciones'!M116</f>
        <v>0</v>
      </c>
      <c r="N105" s="1121">
        <f>+'Ingresos Proyecciones'!N116</f>
        <v>0</v>
      </c>
      <c r="O105" s="1121">
        <f>+'Ingresos Proyecciones'!O116</f>
        <v>0</v>
      </c>
      <c r="P105" s="1121">
        <f>+'Ingresos Proyecciones'!P116</f>
        <v>0</v>
      </c>
      <c r="Q105" s="795" t="e">
        <f>+'Ingresos Proyecciones'!#REF!</f>
        <v>#REF!</v>
      </c>
    </row>
    <row r="106" spans="1:17" s="524" customFormat="1" ht="15" hidden="1" customHeight="1">
      <c r="A106" s="591" t="s">
        <v>1035</v>
      </c>
      <c r="B106" s="1135" t="s">
        <v>455</v>
      </c>
      <c r="C106" s="1121">
        <f>+'Ingresos Proyecciones'!C119</f>
        <v>0</v>
      </c>
      <c r="D106" s="1121">
        <f>+'Ingresos Proyecciones'!D119</f>
        <v>0</v>
      </c>
      <c r="E106" s="1121">
        <f>+'Ingresos Proyecciones'!E119</f>
        <v>0</v>
      </c>
      <c r="F106" s="1121">
        <f>+'Ingresos Proyecciones'!F119</f>
        <v>0</v>
      </c>
      <c r="G106" s="1121">
        <f>+'Ingresos Proyecciones'!G119</f>
        <v>0</v>
      </c>
      <c r="H106" s="1121">
        <f>+'Ingresos Proyecciones'!H119</f>
        <v>0</v>
      </c>
      <c r="I106" s="1121">
        <f>+'Ingresos Proyecciones'!I119</f>
        <v>0</v>
      </c>
      <c r="J106" s="1121">
        <f>+'Ingresos Proyecciones'!J119</f>
        <v>0</v>
      </c>
      <c r="K106" s="1121">
        <f>+'Ingresos Proyecciones'!K119</f>
        <v>0</v>
      </c>
      <c r="L106" s="1121">
        <f>+'Ingresos Proyecciones'!L119</f>
        <v>0</v>
      </c>
      <c r="M106" s="1121">
        <f>+'Ingresos Proyecciones'!M119</f>
        <v>0</v>
      </c>
      <c r="N106" s="1121">
        <f>+'Ingresos Proyecciones'!N119</f>
        <v>0</v>
      </c>
      <c r="O106" s="1121">
        <f>+'Ingresos Proyecciones'!O119</f>
        <v>0</v>
      </c>
      <c r="P106" s="1121">
        <f>+'Ingresos Proyecciones'!P119</f>
        <v>0</v>
      </c>
      <c r="Q106" s="795" t="e">
        <f>+'Ingresos Proyecciones'!#REF!</f>
        <v>#REF!</v>
      </c>
    </row>
    <row r="107" spans="1:17" s="524" customFormat="1" ht="15" hidden="1" customHeight="1">
      <c r="A107" s="591" t="s">
        <v>1039</v>
      </c>
      <c r="B107" s="1135" t="s">
        <v>456</v>
      </c>
      <c r="C107" s="1121">
        <f>+'Ingresos Proyecciones'!C121</f>
        <v>0</v>
      </c>
      <c r="D107" s="1121">
        <f>+'Ingresos Proyecciones'!D121</f>
        <v>0</v>
      </c>
      <c r="E107" s="1121">
        <f>+'Ingresos Proyecciones'!E121</f>
        <v>0</v>
      </c>
      <c r="F107" s="1121">
        <f>+'Ingresos Proyecciones'!F121</f>
        <v>0</v>
      </c>
      <c r="G107" s="1121">
        <f>+'Ingresos Proyecciones'!G121</f>
        <v>0</v>
      </c>
      <c r="H107" s="1121">
        <f>+'Ingresos Proyecciones'!H121</f>
        <v>0</v>
      </c>
      <c r="I107" s="1121">
        <f>+'Ingresos Proyecciones'!I121</f>
        <v>0</v>
      </c>
      <c r="J107" s="1121">
        <f>+'Ingresos Proyecciones'!J121</f>
        <v>0</v>
      </c>
      <c r="K107" s="1121">
        <f>+'Ingresos Proyecciones'!K121</f>
        <v>0</v>
      </c>
      <c r="L107" s="1121">
        <f>+'Ingresos Proyecciones'!L121</f>
        <v>0</v>
      </c>
      <c r="M107" s="1121">
        <f>+'Ingresos Proyecciones'!M121</f>
        <v>0</v>
      </c>
      <c r="N107" s="1121">
        <f>+'Ingresos Proyecciones'!N121</f>
        <v>0</v>
      </c>
      <c r="O107" s="1121">
        <f>+'Ingresos Proyecciones'!O121</f>
        <v>0</v>
      </c>
      <c r="P107" s="1121">
        <f>+'Ingresos Proyecciones'!P121</f>
        <v>0</v>
      </c>
      <c r="Q107" s="795" t="e">
        <f>+'Ingresos Proyecciones'!#REF!</f>
        <v>#REF!</v>
      </c>
    </row>
    <row r="108" spans="1:17" s="524" customFormat="1" ht="18.75" customHeight="1">
      <c r="A108" s="581" t="s">
        <v>457</v>
      </c>
      <c r="B108" s="1123" t="s">
        <v>458</v>
      </c>
      <c r="C108" s="1120">
        <f t="shared" ref="C108:Q108" si="31">+C109+C112</f>
        <v>0</v>
      </c>
      <c r="D108" s="1120">
        <f t="shared" si="31"/>
        <v>0</v>
      </c>
      <c r="E108" s="1120">
        <f t="shared" si="31"/>
        <v>0</v>
      </c>
      <c r="F108" s="1120">
        <f t="shared" si="31"/>
        <v>721873</v>
      </c>
      <c r="G108" s="1120">
        <f t="shared" si="31"/>
        <v>750747.92</v>
      </c>
      <c r="H108" s="1120">
        <f t="shared" si="31"/>
        <v>780777.83680000005</v>
      </c>
      <c r="I108" s="1120">
        <f t="shared" si="31"/>
        <v>812008.95027200005</v>
      </c>
      <c r="J108" s="1120">
        <f t="shared" si="31"/>
        <v>844489.30828288011</v>
      </c>
      <c r="K108" s="1120">
        <f t="shared" si="31"/>
        <v>878268.88061419525</v>
      </c>
      <c r="L108" s="1120">
        <f t="shared" si="31"/>
        <v>913399.63583876309</v>
      </c>
      <c r="M108" s="1120">
        <f t="shared" si="31"/>
        <v>949935.62127231364</v>
      </c>
      <c r="N108" s="1120">
        <f t="shared" si="31"/>
        <v>987933.04612320615</v>
      </c>
      <c r="O108" s="1120">
        <f t="shared" si="31"/>
        <v>1027450.3679681345</v>
      </c>
      <c r="P108" s="1120">
        <f t="shared" si="31"/>
        <v>1068548.3826868599</v>
      </c>
      <c r="Q108" s="794" t="e">
        <f t="shared" si="31"/>
        <v>#REF!</v>
      </c>
    </row>
    <row r="109" spans="1:17" s="524" customFormat="1" ht="18.75" customHeight="1">
      <c r="A109" s="581" t="s">
        <v>459</v>
      </c>
      <c r="B109" s="1123" t="s">
        <v>460</v>
      </c>
      <c r="C109" s="1114">
        <f>SUM(C110:C111)</f>
        <v>0</v>
      </c>
      <c r="D109" s="1114">
        <f>SUM(D110:D111)</f>
        <v>0</v>
      </c>
      <c r="E109" s="1114">
        <f t="shared" ref="E109:Q109" si="32">SUM(E110:E111)</f>
        <v>0</v>
      </c>
      <c r="F109" s="1114">
        <f t="shared" si="32"/>
        <v>720373</v>
      </c>
      <c r="G109" s="1114">
        <f t="shared" si="32"/>
        <v>749187.92</v>
      </c>
      <c r="H109" s="1114">
        <f t="shared" si="32"/>
        <v>779155.43680000002</v>
      </c>
      <c r="I109" s="1114">
        <f t="shared" si="32"/>
        <v>810321.65427200007</v>
      </c>
      <c r="J109" s="1114">
        <f t="shared" si="32"/>
        <v>842734.52044288011</v>
      </c>
      <c r="K109" s="1114">
        <f t="shared" si="32"/>
        <v>876443.9012605953</v>
      </c>
      <c r="L109" s="1114">
        <f t="shared" si="32"/>
        <v>911501.65731101914</v>
      </c>
      <c r="M109" s="1114">
        <f t="shared" si="32"/>
        <v>947961.72360345989</v>
      </c>
      <c r="N109" s="1114">
        <f t="shared" si="32"/>
        <v>985880.19254759827</v>
      </c>
      <c r="O109" s="1114">
        <f t="shared" si="32"/>
        <v>1025315.4002495023</v>
      </c>
      <c r="P109" s="1114">
        <f t="shared" si="32"/>
        <v>1066328.0162594824</v>
      </c>
      <c r="Q109" s="791" t="e">
        <f t="shared" si="32"/>
        <v>#REF!</v>
      </c>
    </row>
    <row r="110" spans="1:17" s="524" customFormat="1" ht="18.75" customHeight="1">
      <c r="A110" s="581" t="s">
        <v>461</v>
      </c>
      <c r="B110" s="1135" t="s">
        <v>393</v>
      </c>
      <c r="C110" s="1115">
        <f>+('Gastos Proyecciones'!C72-'Gastos Proyecciones'!C73-'Gastos Proyecciones'!C76-'Gastos Proyecciones'!C78-'Gastos Proyecciones'!C77-'Gastos Proyecciones'!C79)+('Gastos Proyecciones'!C86-'Gastos Proyecciones'!C87-'Gastos Proyecciones'!C89-'Gastos Proyecciones'!C90)+('Gastos Proyecciones'!C109-'Gastos Proyecciones'!C110-'Gastos Proyecciones'!C113-'Gastos Proyecciones'!C114-'Gastos Proyecciones'!C115-'Gastos Proyecciones'!C116)+('Gastos Proyecciones'!C123-'Gastos Proyecciones'!C124-'Gastos Proyecciones'!C126-'Gastos Proyecciones'!C127)+('Gastos Proyecciones'!C146-'Gastos Proyecciones'!C147-'Gastos Proyecciones'!C150-'Gastos Proyecciones'!C151-'Gastos Proyecciones'!C152-'Gastos Proyecciones'!C153)+('Gastos Proyecciones'!C160-'Gastos Proyecciones'!C161-'Gastos Proyecciones'!C163-'Gastos Proyecciones'!C164)+'Gastos Proyecciones'!C195</f>
        <v>0</v>
      </c>
      <c r="D110" s="1115">
        <f>+('Gastos Proyecciones'!D72-'Gastos Proyecciones'!D73-'Gastos Proyecciones'!D76-'Gastos Proyecciones'!D78-'Gastos Proyecciones'!D77-'Gastos Proyecciones'!D79)+('Gastos Proyecciones'!D86-'Gastos Proyecciones'!D87-'Gastos Proyecciones'!D89-'Gastos Proyecciones'!D90)+('Gastos Proyecciones'!D109-'Gastos Proyecciones'!D110-'Gastos Proyecciones'!D113-'Gastos Proyecciones'!D114-'Gastos Proyecciones'!D115-'Gastos Proyecciones'!D116)+('Gastos Proyecciones'!D123-'Gastos Proyecciones'!D124-'Gastos Proyecciones'!D126-'Gastos Proyecciones'!D127)+('Gastos Proyecciones'!D146-'Gastos Proyecciones'!D147-'Gastos Proyecciones'!D150-'Gastos Proyecciones'!D151-'Gastos Proyecciones'!D152-'Gastos Proyecciones'!D153)+('Gastos Proyecciones'!D160-'Gastos Proyecciones'!D161-'Gastos Proyecciones'!D163-'Gastos Proyecciones'!D164)+'Gastos Proyecciones'!D195</f>
        <v>0</v>
      </c>
      <c r="E110" s="1115">
        <f>+('Gastos Proyecciones'!E72-'Gastos Proyecciones'!E73-'Gastos Proyecciones'!E76-'Gastos Proyecciones'!E78-'Gastos Proyecciones'!E77-'Gastos Proyecciones'!E79)+('Gastos Proyecciones'!E86-'Gastos Proyecciones'!E87-'Gastos Proyecciones'!E89-'Gastos Proyecciones'!E90)+('Gastos Proyecciones'!E109-'Gastos Proyecciones'!E110-'Gastos Proyecciones'!E113-'Gastos Proyecciones'!E114-'Gastos Proyecciones'!E115-'Gastos Proyecciones'!E116)+('Gastos Proyecciones'!E123-'Gastos Proyecciones'!E124-'Gastos Proyecciones'!E126-'Gastos Proyecciones'!E127)+('Gastos Proyecciones'!E146-'Gastos Proyecciones'!E147-'Gastos Proyecciones'!E150-'Gastos Proyecciones'!E151-'Gastos Proyecciones'!E152-'Gastos Proyecciones'!E153)+('Gastos Proyecciones'!E160-'Gastos Proyecciones'!E161-'Gastos Proyecciones'!E163-'Gastos Proyecciones'!E164)+'Gastos Proyecciones'!E195</f>
        <v>0</v>
      </c>
      <c r="F110" s="1115">
        <f>+('Gastos Proyecciones'!F72-'Gastos Proyecciones'!F73-'Gastos Proyecciones'!F76-'Gastos Proyecciones'!F78-'Gastos Proyecciones'!F77-'Gastos Proyecciones'!F79)+('Gastos Proyecciones'!F86-'Gastos Proyecciones'!F87-'Gastos Proyecciones'!F89-'Gastos Proyecciones'!F90)+('Gastos Proyecciones'!F109-'Gastos Proyecciones'!F110-'Gastos Proyecciones'!F113-'Gastos Proyecciones'!F114-'Gastos Proyecciones'!F115-'Gastos Proyecciones'!F116)+('Gastos Proyecciones'!F123-'Gastos Proyecciones'!F124-'Gastos Proyecciones'!F126-'Gastos Proyecciones'!F127)+('Gastos Proyecciones'!F146-'Gastos Proyecciones'!F147-'Gastos Proyecciones'!F150-'Gastos Proyecciones'!F151-'Gastos Proyecciones'!F152-'Gastos Proyecciones'!F153)+('Gastos Proyecciones'!F160-'Gastos Proyecciones'!F161-'Gastos Proyecciones'!F163-'Gastos Proyecciones'!F164)+'Gastos Proyecciones'!F195</f>
        <v>0</v>
      </c>
      <c r="G110" s="1115">
        <f>+('Gastos Proyecciones'!G72-'Gastos Proyecciones'!G73-'Gastos Proyecciones'!G76-'Gastos Proyecciones'!G78-'Gastos Proyecciones'!G77-'Gastos Proyecciones'!G79)+('Gastos Proyecciones'!G86-'Gastos Proyecciones'!G87-'Gastos Proyecciones'!G89-'Gastos Proyecciones'!G90)+('Gastos Proyecciones'!G109-'Gastos Proyecciones'!G110-'Gastos Proyecciones'!G113-'Gastos Proyecciones'!G114-'Gastos Proyecciones'!G115-'Gastos Proyecciones'!G116)+('Gastos Proyecciones'!G123-'Gastos Proyecciones'!G124-'Gastos Proyecciones'!G126-'Gastos Proyecciones'!G127)+('Gastos Proyecciones'!G146-'Gastos Proyecciones'!G147-'Gastos Proyecciones'!G150-'Gastos Proyecciones'!G151-'Gastos Proyecciones'!G152-'Gastos Proyecciones'!G153)+('Gastos Proyecciones'!G160-'Gastos Proyecciones'!G161-'Gastos Proyecciones'!G163-'Gastos Proyecciones'!G164)+'Gastos Proyecciones'!G195</f>
        <v>0</v>
      </c>
      <c r="H110" s="1115">
        <f>+('Gastos Proyecciones'!H72-'Gastos Proyecciones'!H73-'Gastos Proyecciones'!H76-'Gastos Proyecciones'!H78-'Gastos Proyecciones'!H77-'Gastos Proyecciones'!H79)+('Gastos Proyecciones'!H86-'Gastos Proyecciones'!H87-'Gastos Proyecciones'!H89-'Gastos Proyecciones'!H90)+('Gastos Proyecciones'!H109-'Gastos Proyecciones'!H110-'Gastos Proyecciones'!H113-'Gastos Proyecciones'!H114-'Gastos Proyecciones'!H115-'Gastos Proyecciones'!H116)+('Gastos Proyecciones'!H123-'Gastos Proyecciones'!H124-'Gastos Proyecciones'!H126-'Gastos Proyecciones'!H127)+('Gastos Proyecciones'!H146-'Gastos Proyecciones'!H147-'Gastos Proyecciones'!H150-'Gastos Proyecciones'!H151-'Gastos Proyecciones'!H152-'Gastos Proyecciones'!H153)+('Gastos Proyecciones'!H160-'Gastos Proyecciones'!H161-'Gastos Proyecciones'!H163-'Gastos Proyecciones'!H164)+'Gastos Proyecciones'!H195</f>
        <v>0</v>
      </c>
      <c r="I110" s="1115">
        <f>+('Gastos Proyecciones'!I72-'Gastos Proyecciones'!I73-'Gastos Proyecciones'!I76-'Gastos Proyecciones'!I78-'Gastos Proyecciones'!I77-'Gastos Proyecciones'!I79)+('Gastos Proyecciones'!I86-'Gastos Proyecciones'!I87-'Gastos Proyecciones'!I89-'Gastos Proyecciones'!I90)+('Gastos Proyecciones'!I109-'Gastos Proyecciones'!I110-'Gastos Proyecciones'!I113-'Gastos Proyecciones'!I114-'Gastos Proyecciones'!I115-'Gastos Proyecciones'!I116)+('Gastos Proyecciones'!I123-'Gastos Proyecciones'!I124-'Gastos Proyecciones'!I126-'Gastos Proyecciones'!I127)+('Gastos Proyecciones'!I146-'Gastos Proyecciones'!I147-'Gastos Proyecciones'!I150-'Gastos Proyecciones'!I151-'Gastos Proyecciones'!I152-'Gastos Proyecciones'!I153)+('Gastos Proyecciones'!I160-'Gastos Proyecciones'!I161-'Gastos Proyecciones'!I163-'Gastos Proyecciones'!I164)+'Gastos Proyecciones'!I195</f>
        <v>0</v>
      </c>
      <c r="J110" s="1115">
        <f>+('Gastos Proyecciones'!J72-'Gastos Proyecciones'!J73-'Gastos Proyecciones'!J76-'Gastos Proyecciones'!J78-'Gastos Proyecciones'!J77-'Gastos Proyecciones'!J79)+('Gastos Proyecciones'!J86-'Gastos Proyecciones'!J87-'Gastos Proyecciones'!J89-'Gastos Proyecciones'!J90)+('Gastos Proyecciones'!J109-'Gastos Proyecciones'!J110-'Gastos Proyecciones'!J113-'Gastos Proyecciones'!J114-'Gastos Proyecciones'!J115-'Gastos Proyecciones'!J116)+('Gastos Proyecciones'!J123-'Gastos Proyecciones'!J124-'Gastos Proyecciones'!J126-'Gastos Proyecciones'!J127)+('Gastos Proyecciones'!J146-'Gastos Proyecciones'!J147-'Gastos Proyecciones'!J150-'Gastos Proyecciones'!J151-'Gastos Proyecciones'!J152-'Gastos Proyecciones'!J153)+('Gastos Proyecciones'!J160-'Gastos Proyecciones'!J161-'Gastos Proyecciones'!J163-'Gastos Proyecciones'!J164)+'Gastos Proyecciones'!J195</f>
        <v>0</v>
      </c>
      <c r="K110" s="1115">
        <f>+('Gastos Proyecciones'!K72-'Gastos Proyecciones'!K73-'Gastos Proyecciones'!K76-'Gastos Proyecciones'!K78-'Gastos Proyecciones'!K77-'Gastos Proyecciones'!K79)+('Gastos Proyecciones'!K86-'Gastos Proyecciones'!K87-'Gastos Proyecciones'!K89-'Gastos Proyecciones'!K90)+('Gastos Proyecciones'!K109-'Gastos Proyecciones'!K110-'Gastos Proyecciones'!K113-'Gastos Proyecciones'!K114-'Gastos Proyecciones'!K115-'Gastos Proyecciones'!K116)+('Gastos Proyecciones'!K123-'Gastos Proyecciones'!K124-'Gastos Proyecciones'!K126-'Gastos Proyecciones'!K127)+('Gastos Proyecciones'!K146-'Gastos Proyecciones'!K147-'Gastos Proyecciones'!K150-'Gastos Proyecciones'!K151-'Gastos Proyecciones'!K152-'Gastos Proyecciones'!K153)+('Gastos Proyecciones'!K160-'Gastos Proyecciones'!K161-'Gastos Proyecciones'!K163-'Gastos Proyecciones'!K164)+'Gastos Proyecciones'!K195</f>
        <v>0</v>
      </c>
      <c r="L110" s="1115">
        <f>+('Gastos Proyecciones'!L72-'Gastos Proyecciones'!L73-'Gastos Proyecciones'!L76-'Gastos Proyecciones'!L78-'Gastos Proyecciones'!L77-'Gastos Proyecciones'!L79)+('Gastos Proyecciones'!L86-'Gastos Proyecciones'!L87-'Gastos Proyecciones'!L89-'Gastos Proyecciones'!L90)+('Gastos Proyecciones'!L109-'Gastos Proyecciones'!L110-'Gastos Proyecciones'!L113-'Gastos Proyecciones'!L114-'Gastos Proyecciones'!L115-'Gastos Proyecciones'!L116)+('Gastos Proyecciones'!L123-'Gastos Proyecciones'!L124-'Gastos Proyecciones'!L126-'Gastos Proyecciones'!L127)+('Gastos Proyecciones'!L146-'Gastos Proyecciones'!L147-'Gastos Proyecciones'!L150-'Gastos Proyecciones'!L151-'Gastos Proyecciones'!L152-'Gastos Proyecciones'!L153)+('Gastos Proyecciones'!L160-'Gastos Proyecciones'!L161-'Gastos Proyecciones'!L163-'Gastos Proyecciones'!L164)+'Gastos Proyecciones'!L195</f>
        <v>0</v>
      </c>
      <c r="M110" s="1115">
        <f>+('Gastos Proyecciones'!M72-'Gastos Proyecciones'!M73-'Gastos Proyecciones'!M76-'Gastos Proyecciones'!M78-'Gastos Proyecciones'!M77-'Gastos Proyecciones'!M79)+('Gastos Proyecciones'!M86-'Gastos Proyecciones'!M87-'Gastos Proyecciones'!M89-'Gastos Proyecciones'!M90)+('Gastos Proyecciones'!M109-'Gastos Proyecciones'!M110-'Gastos Proyecciones'!M113-'Gastos Proyecciones'!M114-'Gastos Proyecciones'!M115-'Gastos Proyecciones'!M116)+('Gastos Proyecciones'!M123-'Gastos Proyecciones'!M124-'Gastos Proyecciones'!M126-'Gastos Proyecciones'!M127)+('Gastos Proyecciones'!M146-'Gastos Proyecciones'!M147-'Gastos Proyecciones'!M150-'Gastos Proyecciones'!M151-'Gastos Proyecciones'!M152-'Gastos Proyecciones'!M153)+('Gastos Proyecciones'!M160-'Gastos Proyecciones'!M161-'Gastos Proyecciones'!M163-'Gastos Proyecciones'!M164)+'Gastos Proyecciones'!M195</f>
        <v>0</v>
      </c>
      <c r="N110" s="1115">
        <f>+('Gastos Proyecciones'!N72-'Gastos Proyecciones'!N73-'Gastos Proyecciones'!N76-'Gastos Proyecciones'!N78-'Gastos Proyecciones'!N77-'Gastos Proyecciones'!N79)+('Gastos Proyecciones'!N86-'Gastos Proyecciones'!N87-'Gastos Proyecciones'!N89-'Gastos Proyecciones'!N90)+('Gastos Proyecciones'!N109-'Gastos Proyecciones'!N110-'Gastos Proyecciones'!N113-'Gastos Proyecciones'!N114-'Gastos Proyecciones'!N115-'Gastos Proyecciones'!N116)+('Gastos Proyecciones'!N123-'Gastos Proyecciones'!N124-'Gastos Proyecciones'!N126-'Gastos Proyecciones'!N127)+('Gastos Proyecciones'!N146-'Gastos Proyecciones'!N147-'Gastos Proyecciones'!N150-'Gastos Proyecciones'!N151-'Gastos Proyecciones'!N152-'Gastos Proyecciones'!N153)+('Gastos Proyecciones'!N160-'Gastos Proyecciones'!N161-'Gastos Proyecciones'!N163-'Gastos Proyecciones'!N164)+'Gastos Proyecciones'!N195</f>
        <v>0</v>
      </c>
      <c r="O110" s="1115">
        <f>+('Gastos Proyecciones'!O72-'Gastos Proyecciones'!O73-'Gastos Proyecciones'!O76-'Gastos Proyecciones'!O78-'Gastos Proyecciones'!O77-'Gastos Proyecciones'!O79)+('Gastos Proyecciones'!O86-'Gastos Proyecciones'!O87-'Gastos Proyecciones'!O89-'Gastos Proyecciones'!O90)+('Gastos Proyecciones'!O109-'Gastos Proyecciones'!O110-'Gastos Proyecciones'!O113-'Gastos Proyecciones'!O114-'Gastos Proyecciones'!O115-'Gastos Proyecciones'!O116)+('Gastos Proyecciones'!O123-'Gastos Proyecciones'!O124-'Gastos Proyecciones'!O126-'Gastos Proyecciones'!O127)+('Gastos Proyecciones'!O146-'Gastos Proyecciones'!O147-'Gastos Proyecciones'!O150-'Gastos Proyecciones'!O151-'Gastos Proyecciones'!O152-'Gastos Proyecciones'!O153)+('Gastos Proyecciones'!O160-'Gastos Proyecciones'!O161-'Gastos Proyecciones'!O163-'Gastos Proyecciones'!O164)+'Gastos Proyecciones'!O195</f>
        <v>0</v>
      </c>
      <c r="P110" s="1115">
        <f>+('Gastos Proyecciones'!P72-'Gastos Proyecciones'!P73-'Gastos Proyecciones'!P76-'Gastos Proyecciones'!P78-'Gastos Proyecciones'!P77-'Gastos Proyecciones'!P79)+('Gastos Proyecciones'!P86-'Gastos Proyecciones'!P87-'Gastos Proyecciones'!P89-'Gastos Proyecciones'!P90)+('Gastos Proyecciones'!P109-'Gastos Proyecciones'!P110-'Gastos Proyecciones'!P113-'Gastos Proyecciones'!P114-'Gastos Proyecciones'!P115-'Gastos Proyecciones'!P116)+('Gastos Proyecciones'!P123-'Gastos Proyecciones'!P124-'Gastos Proyecciones'!P126-'Gastos Proyecciones'!P127)+('Gastos Proyecciones'!P146-'Gastos Proyecciones'!P147-'Gastos Proyecciones'!P150-'Gastos Proyecciones'!P151-'Gastos Proyecciones'!P152-'Gastos Proyecciones'!P153)+('Gastos Proyecciones'!P160-'Gastos Proyecciones'!P161-'Gastos Proyecciones'!P163-'Gastos Proyecciones'!P164)+'Gastos Proyecciones'!P195</f>
        <v>0</v>
      </c>
      <c r="Q110" s="792" t="e">
        <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Proyecciones'!#REF!)+'Gastos Proyecciones'!#REF!</f>
        <v>#REF!</v>
      </c>
    </row>
    <row r="111" spans="1:17" s="524" customFormat="1" ht="18.75" customHeight="1">
      <c r="A111" s="581" t="s">
        <v>462</v>
      </c>
      <c r="B111" s="1135" t="s">
        <v>395</v>
      </c>
      <c r="C111" s="1115">
        <f>+('Gastos Proyecciones'!C93-'Gastos Proyecciones'!C94-'Gastos Proyecciones'!C97-'Gastos Proyecciones'!C98-'Gastos Proyecciones'!C99-'Gastos Proyecciones'!C100)+('Gastos Proyecciones'!C130-'Gastos Proyecciones'!C131-'Gastos Proyecciones'!C134-'Gastos Proyecciones'!C135-'Gastos Proyecciones'!C136-'Gastos Proyecciones'!C137)+('Gastos Proyecciones'!C166-'Gastos Proyecciones'!C167-'Gastos Proyecciones'!C170-'Gastos Proyecciones'!C171-'Gastos Proyecciones'!C172-'Gastos Proyecciones'!C173)</f>
        <v>0</v>
      </c>
      <c r="D111" s="1115">
        <f>+('Gastos Proyecciones'!D93-'Gastos Proyecciones'!D94-'Gastos Proyecciones'!D97-'Gastos Proyecciones'!D98-'Gastos Proyecciones'!D99-'Gastos Proyecciones'!D100)+('Gastos Proyecciones'!D130-'Gastos Proyecciones'!D131-'Gastos Proyecciones'!D134-'Gastos Proyecciones'!D135-'Gastos Proyecciones'!D136-'Gastos Proyecciones'!D137)+('Gastos Proyecciones'!D166-'Gastos Proyecciones'!D167-'Gastos Proyecciones'!D170-'Gastos Proyecciones'!D171-'Gastos Proyecciones'!D172-'Gastos Proyecciones'!D173)</f>
        <v>0</v>
      </c>
      <c r="E111" s="1115">
        <f>+('Gastos Proyecciones'!E93-'Gastos Proyecciones'!E94-'Gastos Proyecciones'!E97-'Gastos Proyecciones'!E98-'Gastos Proyecciones'!E99-'Gastos Proyecciones'!E100)+('Gastos Proyecciones'!E130-'Gastos Proyecciones'!E131-'Gastos Proyecciones'!E134-'Gastos Proyecciones'!E135-'Gastos Proyecciones'!E136-'Gastos Proyecciones'!E137)+('Gastos Proyecciones'!E166-'Gastos Proyecciones'!E167-'Gastos Proyecciones'!E170-'Gastos Proyecciones'!E171-'Gastos Proyecciones'!E172-'Gastos Proyecciones'!E173)</f>
        <v>0</v>
      </c>
      <c r="F111" s="1115">
        <f>15000+10000+30000+33069+314335+41692+6400+95000+35000+46886+5000+5000+71966+11025</f>
        <v>720373</v>
      </c>
      <c r="G111" s="1115">
        <f>+F111*1.04</f>
        <v>749187.92</v>
      </c>
      <c r="H111" s="1115">
        <f t="shared" ref="H111:Q111" si="33">+G111*1.04</f>
        <v>779155.43680000002</v>
      </c>
      <c r="I111" s="1115">
        <f t="shared" si="33"/>
        <v>810321.65427200007</v>
      </c>
      <c r="J111" s="1115">
        <f t="shared" si="33"/>
        <v>842734.52044288011</v>
      </c>
      <c r="K111" s="1115">
        <f t="shared" si="33"/>
        <v>876443.9012605953</v>
      </c>
      <c r="L111" s="1115">
        <f t="shared" si="33"/>
        <v>911501.65731101914</v>
      </c>
      <c r="M111" s="1115">
        <f t="shared" si="33"/>
        <v>947961.72360345989</v>
      </c>
      <c r="N111" s="1115">
        <f t="shared" si="33"/>
        <v>985880.19254759827</v>
      </c>
      <c r="O111" s="1115">
        <f t="shared" si="33"/>
        <v>1025315.4002495023</v>
      </c>
      <c r="P111" s="1115">
        <f t="shared" si="33"/>
        <v>1066328.0162594824</v>
      </c>
      <c r="Q111" s="792">
        <f t="shared" si="33"/>
        <v>1108981.1369098616</v>
      </c>
    </row>
    <row r="112" spans="1:17" s="524" customFormat="1" ht="18.75" customHeight="1">
      <c r="A112" s="581" t="s">
        <v>463</v>
      </c>
      <c r="B112" s="1123" t="s">
        <v>464</v>
      </c>
      <c r="C112" s="1120">
        <f>SUM(C113:C113)</f>
        <v>0</v>
      </c>
      <c r="D112" s="1120">
        <f>SUM(D113:D113)</f>
        <v>0</v>
      </c>
      <c r="E112" s="1120">
        <f t="shared" ref="E112:Q112" si="34">SUM(E113:E113)</f>
        <v>0</v>
      </c>
      <c r="F112" s="1120">
        <f t="shared" si="34"/>
        <v>1500</v>
      </c>
      <c r="G112" s="1120">
        <f t="shared" si="34"/>
        <v>1560</v>
      </c>
      <c r="H112" s="1120">
        <f t="shared" si="34"/>
        <v>1622.4</v>
      </c>
      <c r="I112" s="1120">
        <f t="shared" si="34"/>
        <v>1687.296</v>
      </c>
      <c r="J112" s="1120">
        <f t="shared" si="34"/>
        <v>1754.7878400000002</v>
      </c>
      <c r="K112" s="1120">
        <f t="shared" si="34"/>
        <v>1824.9793536000002</v>
      </c>
      <c r="L112" s="1120">
        <f t="shared" si="34"/>
        <v>1897.9785277440003</v>
      </c>
      <c r="M112" s="1120">
        <f t="shared" si="34"/>
        <v>1973.8976688537605</v>
      </c>
      <c r="N112" s="1120">
        <f t="shared" si="34"/>
        <v>2052.8535756079109</v>
      </c>
      <c r="O112" s="1120">
        <f t="shared" si="34"/>
        <v>2134.9677186322274</v>
      </c>
      <c r="P112" s="1120">
        <f t="shared" si="34"/>
        <v>2220.3664273775166</v>
      </c>
      <c r="Q112" s="794">
        <f t="shared" si="34"/>
        <v>2309.1810844726174</v>
      </c>
    </row>
    <row r="113" spans="1:17" s="524" customFormat="1" ht="18.75" customHeight="1">
      <c r="A113" s="796" t="s">
        <v>1150</v>
      </c>
      <c r="B113" s="1135" t="s">
        <v>559</v>
      </c>
      <c r="C113" s="1121">
        <f>+'Gastos Proyecciones'!C49+'Gastos Proyecciones'!C51+'Gastos Proyecciones'!C36</f>
        <v>0</v>
      </c>
      <c r="D113" s="1121">
        <f>+'Gastos Proyecciones'!D49+'Gastos Proyecciones'!D51+'Gastos Proyecciones'!D36</f>
        <v>0</v>
      </c>
      <c r="E113" s="1121">
        <f>+'Gastos Proyecciones'!E49+'Gastos Proyecciones'!E51+'Gastos Proyecciones'!E36</f>
        <v>0</v>
      </c>
      <c r="F113" s="1121">
        <v>1500</v>
      </c>
      <c r="G113" s="1121">
        <f>+F113*1.04</f>
        <v>1560</v>
      </c>
      <c r="H113" s="1121">
        <f t="shared" ref="H113:Q113" si="35">+G113*1.04</f>
        <v>1622.4</v>
      </c>
      <c r="I113" s="1121">
        <f t="shared" si="35"/>
        <v>1687.296</v>
      </c>
      <c r="J113" s="1121">
        <f t="shared" si="35"/>
        <v>1754.7878400000002</v>
      </c>
      <c r="K113" s="1121">
        <f t="shared" si="35"/>
        <v>1824.9793536000002</v>
      </c>
      <c r="L113" s="1121">
        <f t="shared" si="35"/>
        <v>1897.9785277440003</v>
      </c>
      <c r="M113" s="1121">
        <f t="shared" si="35"/>
        <v>1973.8976688537605</v>
      </c>
      <c r="N113" s="1121">
        <f t="shared" si="35"/>
        <v>2052.8535756079109</v>
      </c>
      <c r="O113" s="1121">
        <f t="shared" si="35"/>
        <v>2134.9677186322274</v>
      </c>
      <c r="P113" s="1121">
        <f t="shared" si="35"/>
        <v>2220.3664273775166</v>
      </c>
      <c r="Q113" s="795">
        <f t="shared" si="35"/>
        <v>2309.1810844726174</v>
      </c>
    </row>
    <row r="114" spans="1:17" s="524" customFormat="1" ht="18.75" customHeight="1">
      <c r="A114" s="581" t="s">
        <v>466</v>
      </c>
      <c r="B114" s="1123" t="s">
        <v>467</v>
      </c>
      <c r="C114" s="1120" t="e">
        <f>+C83-C108</f>
        <v>#REF!</v>
      </c>
      <c r="D114" s="1120" t="e">
        <f t="shared" ref="D114:Q114" si="36">+D83-D108</f>
        <v>#REF!</v>
      </c>
      <c r="E114" s="1120" t="e">
        <f t="shared" si="36"/>
        <v>#REF!</v>
      </c>
      <c r="F114" s="1120" t="e">
        <f t="shared" si="36"/>
        <v>#REF!</v>
      </c>
      <c r="G114" s="1120" t="e">
        <f t="shared" si="36"/>
        <v>#REF!</v>
      </c>
      <c r="H114" s="1120" t="e">
        <f t="shared" si="36"/>
        <v>#REF!</v>
      </c>
      <c r="I114" s="1120" t="e">
        <f t="shared" si="36"/>
        <v>#REF!</v>
      </c>
      <c r="J114" s="1120" t="e">
        <f t="shared" si="36"/>
        <v>#REF!</v>
      </c>
      <c r="K114" s="1120" t="e">
        <f t="shared" si="36"/>
        <v>#REF!</v>
      </c>
      <c r="L114" s="1120" t="e">
        <f t="shared" si="36"/>
        <v>#REF!</v>
      </c>
      <c r="M114" s="1120" t="e">
        <f t="shared" si="36"/>
        <v>#REF!</v>
      </c>
      <c r="N114" s="1120" t="e">
        <f t="shared" si="36"/>
        <v>#REF!</v>
      </c>
      <c r="O114" s="1120" t="e">
        <f t="shared" si="36"/>
        <v>#REF!</v>
      </c>
      <c r="P114" s="1120" t="e">
        <f t="shared" si="36"/>
        <v>#REF!</v>
      </c>
      <c r="Q114" s="794" t="e">
        <f t="shared" si="36"/>
        <v>#REF!</v>
      </c>
    </row>
    <row r="115" spans="1:17" s="524" customFormat="1" ht="18.75" customHeight="1" thickBot="1">
      <c r="A115" s="675" t="s">
        <v>468</v>
      </c>
      <c r="B115" s="1136" t="s">
        <v>469</v>
      </c>
      <c r="C115" s="1116" t="e">
        <f>+C56+C64+C72+C81+C114</f>
        <v>#REF!</v>
      </c>
      <c r="D115" s="1116" t="e">
        <f t="shared" ref="D115:Q115" si="37">+D56+D64+D72+D81+D114</f>
        <v>#REF!</v>
      </c>
      <c r="E115" s="1116" t="e">
        <f t="shared" si="37"/>
        <v>#REF!</v>
      </c>
      <c r="F115" s="1116" t="e">
        <f t="shared" si="37"/>
        <v>#REF!</v>
      </c>
      <c r="G115" s="1116" t="e">
        <f t="shared" si="37"/>
        <v>#REF!</v>
      </c>
      <c r="H115" s="1116" t="e">
        <f t="shared" si="37"/>
        <v>#REF!</v>
      </c>
      <c r="I115" s="1116" t="e">
        <f t="shared" si="37"/>
        <v>#REF!</v>
      </c>
      <c r="J115" s="1116" t="e">
        <f t="shared" si="37"/>
        <v>#REF!</v>
      </c>
      <c r="K115" s="1116" t="e">
        <f t="shared" si="37"/>
        <v>#REF!</v>
      </c>
      <c r="L115" s="1116" t="e">
        <f t="shared" si="37"/>
        <v>#REF!</v>
      </c>
      <c r="M115" s="1116" t="e">
        <f t="shared" si="37"/>
        <v>#REF!</v>
      </c>
      <c r="N115" s="1116" t="e">
        <f t="shared" si="37"/>
        <v>#REF!</v>
      </c>
      <c r="O115" s="1116" t="e">
        <f t="shared" si="37"/>
        <v>#REF!</v>
      </c>
      <c r="P115" s="1116" t="e">
        <f t="shared" si="37"/>
        <v>#REF!</v>
      </c>
      <c r="Q115" s="797" t="e">
        <f t="shared" si="37"/>
        <v>#REF!</v>
      </c>
    </row>
    <row r="116" spans="1:17" s="524" customFormat="1" ht="18.75" customHeight="1">
      <c r="A116" s="620" t="s">
        <v>470</v>
      </c>
      <c r="B116" s="1133" t="s">
        <v>471</v>
      </c>
      <c r="C116" s="1117"/>
      <c r="D116" s="1117"/>
      <c r="E116" s="1117"/>
      <c r="F116" s="1117"/>
      <c r="G116" s="1117"/>
      <c r="H116" s="1117"/>
      <c r="I116" s="1117"/>
      <c r="J116" s="1117"/>
      <c r="K116" s="1117"/>
      <c r="L116" s="1117"/>
      <c r="M116" s="1117"/>
      <c r="N116" s="1117"/>
      <c r="O116" s="1117"/>
      <c r="P116" s="1117"/>
      <c r="Q116" s="798"/>
    </row>
    <row r="117" spans="1:17" s="524" customFormat="1" ht="18.75" customHeight="1">
      <c r="A117" s="624" t="s">
        <v>472</v>
      </c>
      <c r="B117" s="1123" t="s">
        <v>473</v>
      </c>
      <c r="C117" s="1118"/>
      <c r="D117" s="1118"/>
      <c r="E117" s="1118"/>
      <c r="F117" s="1118"/>
      <c r="G117" s="1118"/>
      <c r="H117" s="1118"/>
      <c r="I117" s="1118"/>
      <c r="J117" s="1118"/>
      <c r="K117" s="1118"/>
      <c r="L117" s="1118"/>
      <c r="M117" s="1118"/>
      <c r="N117" s="1118"/>
      <c r="O117" s="1118"/>
      <c r="P117" s="1118"/>
      <c r="Q117" s="799"/>
    </row>
    <row r="118" spans="1:17" s="524" customFormat="1" ht="18.75" customHeight="1">
      <c r="A118" s="624" t="s">
        <v>474</v>
      </c>
      <c r="B118" s="1123" t="s">
        <v>475</v>
      </c>
      <c r="C118" s="1114" t="e">
        <f>+C119+C120+C129</f>
        <v>#REF!</v>
      </c>
      <c r="D118" s="1114" t="e">
        <f t="shared" ref="D118:Q118" si="38">+D119+D120+D129</f>
        <v>#REF!</v>
      </c>
      <c r="E118" s="1114" t="e">
        <f t="shared" si="38"/>
        <v>#REF!</v>
      </c>
      <c r="F118" s="1114" t="e">
        <f t="shared" si="38"/>
        <v>#REF!</v>
      </c>
      <c r="G118" s="1114" t="e">
        <f t="shared" si="38"/>
        <v>#REF!</v>
      </c>
      <c r="H118" s="1114" t="e">
        <f t="shared" si="38"/>
        <v>#REF!</v>
      </c>
      <c r="I118" s="1114" t="e">
        <f t="shared" si="38"/>
        <v>#REF!</v>
      </c>
      <c r="J118" s="1114" t="e">
        <f t="shared" si="38"/>
        <v>#REF!</v>
      </c>
      <c r="K118" s="1114" t="e">
        <f t="shared" si="38"/>
        <v>#REF!</v>
      </c>
      <c r="L118" s="1114" t="e">
        <f t="shared" si="38"/>
        <v>#REF!</v>
      </c>
      <c r="M118" s="1114" t="e">
        <f t="shared" si="38"/>
        <v>#REF!</v>
      </c>
      <c r="N118" s="1114" t="e">
        <f t="shared" si="38"/>
        <v>#REF!</v>
      </c>
      <c r="O118" s="1114" t="e">
        <f t="shared" si="38"/>
        <v>#REF!</v>
      </c>
      <c r="P118" s="1114" t="e">
        <f t="shared" si="38"/>
        <v>#REF!</v>
      </c>
      <c r="Q118" s="791" t="e">
        <f t="shared" si="38"/>
        <v>#REF!</v>
      </c>
    </row>
    <row r="119" spans="1:17" s="524" customFormat="1" ht="18.75" customHeight="1">
      <c r="A119" s="801" t="s">
        <v>381</v>
      </c>
      <c r="B119" s="1135" t="s">
        <v>476</v>
      </c>
      <c r="C119" s="1115" t="e">
        <f>+C45</f>
        <v>#REF!</v>
      </c>
      <c r="D119" s="1115" t="e">
        <f>+D45</f>
        <v>#REF!</v>
      </c>
      <c r="E119" s="1115" t="e">
        <f t="shared" ref="E119:Q119" si="39">+E45</f>
        <v>#REF!</v>
      </c>
      <c r="F119" s="1115" t="e">
        <f t="shared" si="39"/>
        <v>#REF!</v>
      </c>
      <c r="G119" s="1115" t="e">
        <f t="shared" si="39"/>
        <v>#REF!</v>
      </c>
      <c r="H119" s="1115" t="e">
        <f t="shared" si="39"/>
        <v>#REF!</v>
      </c>
      <c r="I119" s="1115" t="e">
        <f t="shared" si="39"/>
        <v>#REF!</v>
      </c>
      <c r="J119" s="1115" t="e">
        <f t="shared" si="39"/>
        <v>#REF!</v>
      </c>
      <c r="K119" s="1115" t="e">
        <f t="shared" si="39"/>
        <v>#REF!</v>
      </c>
      <c r="L119" s="1115" t="e">
        <f t="shared" si="39"/>
        <v>#REF!</v>
      </c>
      <c r="M119" s="1115" t="e">
        <f t="shared" si="39"/>
        <v>#REF!</v>
      </c>
      <c r="N119" s="1115" t="e">
        <f t="shared" si="39"/>
        <v>#REF!</v>
      </c>
      <c r="O119" s="1115" t="e">
        <f t="shared" si="39"/>
        <v>#REF!</v>
      </c>
      <c r="P119" s="1115" t="e">
        <f t="shared" si="39"/>
        <v>#REF!</v>
      </c>
      <c r="Q119" s="802" t="e">
        <f t="shared" si="39"/>
        <v>#REF!</v>
      </c>
    </row>
    <row r="120" spans="1:17" s="524" customFormat="1" ht="18.75" customHeight="1">
      <c r="A120" s="624" t="s">
        <v>477</v>
      </c>
      <c r="B120" s="1123" t="s">
        <v>478</v>
      </c>
      <c r="C120" s="1114" t="e">
        <f>SUM(C121:C128)</f>
        <v>#REF!</v>
      </c>
      <c r="D120" s="1114" t="e">
        <f t="shared" ref="D120:Q120" si="40">SUM(D121:D128)</f>
        <v>#REF!</v>
      </c>
      <c r="E120" s="1114" t="e">
        <f t="shared" si="40"/>
        <v>#REF!</v>
      </c>
      <c r="F120" s="1114" t="e">
        <f t="shared" si="40"/>
        <v>#REF!</v>
      </c>
      <c r="G120" s="1114" t="e">
        <f t="shared" si="40"/>
        <v>#REF!</v>
      </c>
      <c r="H120" s="1114" t="e">
        <f t="shared" si="40"/>
        <v>#REF!</v>
      </c>
      <c r="I120" s="1114" t="e">
        <f t="shared" si="40"/>
        <v>#REF!</v>
      </c>
      <c r="J120" s="1114" t="e">
        <f t="shared" si="40"/>
        <v>#REF!</v>
      </c>
      <c r="K120" s="1114" t="e">
        <f t="shared" si="40"/>
        <v>#REF!</v>
      </c>
      <c r="L120" s="1114" t="e">
        <f t="shared" si="40"/>
        <v>#REF!</v>
      </c>
      <c r="M120" s="1114" t="e">
        <f t="shared" si="40"/>
        <v>#REF!</v>
      </c>
      <c r="N120" s="1114" t="e">
        <f t="shared" si="40"/>
        <v>#REF!</v>
      </c>
      <c r="O120" s="1114" t="e">
        <f t="shared" si="40"/>
        <v>#REF!</v>
      </c>
      <c r="P120" s="1114" t="e">
        <f t="shared" si="40"/>
        <v>#REF!</v>
      </c>
      <c r="Q120" s="800" t="e">
        <f t="shared" si="40"/>
        <v>#REF!</v>
      </c>
    </row>
    <row r="121" spans="1:17" s="524" customFormat="1" ht="15" hidden="1" customHeight="1">
      <c r="A121" s="803" t="s">
        <v>822</v>
      </c>
      <c r="B121" s="1135" t="s">
        <v>479</v>
      </c>
      <c r="C121" s="1115">
        <f>(+'Ingresos Proyecciones'!C18*'Ley 617'!$G$14)*'Ingresos Proyecciones'!C148</f>
        <v>0</v>
      </c>
      <c r="D121" s="1115">
        <f>(+'Ingresos Proyecciones'!D18*'Ley 617'!$G$14)*'Ingresos Proyecciones'!D148</f>
        <v>0</v>
      </c>
      <c r="E121" s="1115">
        <f>(+'Ingresos Proyecciones'!E18*'Ley 617'!$G$14)*'Ingresos Proyecciones'!E148</f>
        <v>0</v>
      </c>
      <c r="F121" s="1115">
        <f>(+'Ingresos Proyecciones'!F18*'Ley 617'!$G$14)*'Ingresos Proyecciones'!F148</f>
        <v>0</v>
      </c>
      <c r="G121" s="1115">
        <f>(+'Ingresos Proyecciones'!G18*'Ley 617'!$G$14)*'Ingresos Proyecciones'!G148</f>
        <v>0</v>
      </c>
      <c r="H121" s="1115">
        <f>(+'Ingresos Proyecciones'!H18*'Ley 617'!$G$14)*'Ingresos Proyecciones'!H148</f>
        <v>0</v>
      </c>
      <c r="I121" s="1115">
        <f>(+'Ingresos Proyecciones'!I18*'Ley 617'!$G$14)*'Ingresos Proyecciones'!I148</f>
        <v>0</v>
      </c>
      <c r="J121" s="1115">
        <f>(+'Ingresos Proyecciones'!J18*'Ley 617'!$G$14)*'Ingresos Proyecciones'!J148</f>
        <v>0</v>
      </c>
      <c r="K121" s="1115">
        <f>(+'Ingresos Proyecciones'!K18*'Ley 617'!$G$14)*'Ingresos Proyecciones'!K148</f>
        <v>0</v>
      </c>
      <c r="L121" s="1115">
        <f>(+'Ingresos Proyecciones'!L18*'Ley 617'!$G$14)*'Ingresos Proyecciones'!L148</f>
        <v>0</v>
      </c>
      <c r="M121" s="1115">
        <f>(+'Ingresos Proyecciones'!M18*'Ley 617'!$G$14)*'Ingresos Proyecciones'!M148</f>
        <v>0</v>
      </c>
      <c r="N121" s="1115">
        <f>(+'Ingresos Proyecciones'!N18*'Ley 617'!$G$14)*'Ingresos Proyecciones'!N148</f>
        <v>0</v>
      </c>
      <c r="O121" s="1115">
        <f>(+'Ingresos Proyecciones'!O18*'Ley 617'!$G$14)*'Ingresos Proyecciones'!O148</f>
        <v>0</v>
      </c>
      <c r="P121" s="1115">
        <f>(+'Ingresos Proyecciones'!P18*'Ley 617'!$G$14)*'Ingresos Proyecciones'!P148</f>
        <v>0</v>
      </c>
      <c r="Q121" s="802" t="e">
        <f>(+'Ingresos Proyecciones'!#REF!*'Ley 617'!$G$14)*'Ingresos Proyecciones'!#REF!</f>
        <v>#REF!</v>
      </c>
    </row>
    <row r="122" spans="1:17" s="524" customFormat="1" ht="15" hidden="1" customHeight="1">
      <c r="A122" s="804" t="s">
        <v>362</v>
      </c>
      <c r="B122" s="1135" t="s">
        <v>499</v>
      </c>
      <c r="C122" s="1115" t="e">
        <f>+('Ingresos Proyecciones'!C26*'Ley 617'!#REF!)*'Ingresos Proyecciones'!C149</f>
        <v>#REF!</v>
      </c>
      <c r="D122" s="1115" t="e">
        <f>+('Ingresos Proyecciones'!D26*'Ley 617'!#REF!)*'Ingresos Proyecciones'!D149</f>
        <v>#REF!</v>
      </c>
      <c r="E122" s="1115" t="e">
        <f>+('Ingresos Proyecciones'!E26*'Ley 617'!#REF!)*'Ingresos Proyecciones'!E149</f>
        <v>#REF!</v>
      </c>
      <c r="F122" s="1115" t="e">
        <f>+('Ingresos Proyecciones'!F26*'Ley 617'!#REF!)*'Ingresos Proyecciones'!F149</f>
        <v>#REF!</v>
      </c>
      <c r="G122" s="1115" t="e">
        <f>+('Ingresos Proyecciones'!G26*'Ley 617'!#REF!)*'Ingresos Proyecciones'!G149</f>
        <v>#REF!</v>
      </c>
      <c r="H122" s="1115" t="e">
        <f>+('Ingresos Proyecciones'!H26*'Ley 617'!#REF!)*'Ingresos Proyecciones'!H149</f>
        <v>#REF!</v>
      </c>
      <c r="I122" s="1115" t="e">
        <f>+('Ingresos Proyecciones'!I26*'Ley 617'!#REF!)*'Ingresos Proyecciones'!I149</f>
        <v>#REF!</v>
      </c>
      <c r="J122" s="1115" t="e">
        <f>+('Ingresos Proyecciones'!J26*'Ley 617'!#REF!)*'Ingresos Proyecciones'!J149</f>
        <v>#REF!</v>
      </c>
      <c r="K122" s="1115" t="e">
        <f>+('Ingresos Proyecciones'!K26*'Ley 617'!#REF!)*'Ingresos Proyecciones'!K149</f>
        <v>#REF!</v>
      </c>
      <c r="L122" s="1115" t="e">
        <f>+('Ingresos Proyecciones'!L26*'Ley 617'!#REF!)*'Ingresos Proyecciones'!L149</f>
        <v>#REF!</v>
      </c>
      <c r="M122" s="1115" t="e">
        <f>+('Ingresos Proyecciones'!M26*'Ley 617'!#REF!)*'Ingresos Proyecciones'!M149</f>
        <v>#REF!</v>
      </c>
      <c r="N122" s="1115" t="e">
        <f>+('Ingresos Proyecciones'!N26*'Ley 617'!#REF!)*'Ingresos Proyecciones'!N149</f>
        <v>#REF!</v>
      </c>
      <c r="O122" s="1115" t="e">
        <f>+('Ingresos Proyecciones'!O26*'Ley 617'!#REF!)*'Ingresos Proyecciones'!O149</f>
        <v>#REF!</v>
      </c>
      <c r="P122" s="1115" t="e">
        <f>+('Ingresos Proyecciones'!P26*'Ley 617'!#REF!)*'Ingresos Proyecciones'!P149</f>
        <v>#REF!</v>
      </c>
      <c r="Q122" s="802" t="e">
        <f>+('Ingresos Proyecciones'!#REF!*'Ley 617'!#REF!)*'Ingresos Proyecciones'!#REF!</f>
        <v>#REF!</v>
      </c>
    </row>
    <row r="123" spans="1:17" s="524" customFormat="1" ht="15" hidden="1" customHeight="1">
      <c r="A123" s="805" t="s">
        <v>959</v>
      </c>
      <c r="B123" s="1135" t="s">
        <v>500</v>
      </c>
      <c r="C123" s="1115">
        <f>+'Ingresos Proyecciones'!C82*'Ingresos Proyecciones'!C150</f>
        <v>0</v>
      </c>
      <c r="D123" s="1115">
        <f>+'Ingresos Proyecciones'!D82*'Ingresos Proyecciones'!D150</f>
        <v>0</v>
      </c>
      <c r="E123" s="1115">
        <f>+'Ingresos Proyecciones'!E82*'Ingresos Proyecciones'!E150</f>
        <v>0</v>
      </c>
      <c r="F123" s="1115">
        <f>+'Ingresos Proyecciones'!F82*'Ingresos Proyecciones'!F150</f>
        <v>0</v>
      </c>
      <c r="G123" s="1115">
        <f>+'Ingresos Proyecciones'!G82*'Ingresos Proyecciones'!G150</f>
        <v>0</v>
      </c>
      <c r="H123" s="1115">
        <f>+'Ingresos Proyecciones'!H82*'Ingresos Proyecciones'!H150</f>
        <v>0</v>
      </c>
      <c r="I123" s="1115">
        <f>+'Ingresos Proyecciones'!I82*'Ingresos Proyecciones'!I150</f>
        <v>0</v>
      </c>
      <c r="J123" s="1115">
        <f>+'Ingresos Proyecciones'!J82*'Ingresos Proyecciones'!J150</f>
        <v>0</v>
      </c>
      <c r="K123" s="1115">
        <f>+'Ingresos Proyecciones'!K82*'Ingresos Proyecciones'!K150</f>
        <v>0</v>
      </c>
      <c r="L123" s="1115">
        <f>+'Ingresos Proyecciones'!L82*'Ingresos Proyecciones'!L150</f>
        <v>0</v>
      </c>
      <c r="M123" s="1115">
        <f>+'Ingresos Proyecciones'!M82*'Ingresos Proyecciones'!M150</f>
        <v>0</v>
      </c>
      <c r="N123" s="1115">
        <f>+'Ingresos Proyecciones'!N82*'Ingresos Proyecciones'!N150</f>
        <v>0</v>
      </c>
      <c r="O123" s="1115">
        <f>+'Ingresos Proyecciones'!O82*'Ingresos Proyecciones'!O150</f>
        <v>0</v>
      </c>
      <c r="P123" s="1115">
        <f>+'Ingresos Proyecciones'!P82*'Ingresos Proyecciones'!P150</f>
        <v>0</v>
      </c>
      <c r="Q123" s="802" t="e">
        <f>+'Ingresos Proyecciones'!#REF!*'Ingresos Proyecciones'!#REF!</f>
        <v>#REF!</v>
      </c>
    </row>
    <row r="124" spans="1:17" s="524" customFormat="1" ht="15" hidden="1" customHeight="1">
      <c r="A124" s="806" t="s">
        <v>560</v>
      </c>
      <c r="B124" s="1135" t="s">
        <v>501</v>
      </c>
      <c r="C124" s="1115">
        <f>+('Ingresos Proyecciones'!C106*'Ley 617'!$G$58)*'Ingresos Proyecciones'!C151</f>
        <v>0</v>
      </c>
      <c r="D124" s="1115">
        <f>+('Ingresos Proyecciones'!D106*'Ley 617'!$G$58)*'Ingresos Proyecciones'!D151</f>
        <v>0</v>
      </c>
      <c r="E124" s="1115">
        <f>+('Ingresos Proyecciones'!E106*'Ley 617'!$G$58)*'Ingresos Proyecciones'!E151</f>
        <v>0</v>
      </c>
      <c r="F124" s="1115">
        <f>+('Ingresos Proyecciones'!F106*'Ley 617'!$G$58)*'Ingresos Proyecciones'!F151</f>
        <v>0</v>
      </c>
      <c r="G124" s="1115">
        <f>+('Ingresos Proyecciones'!G106*'Ley 617'!$G$58)*'Ingresos Proyecciones'!G151</f>
        <v>0</v>
      </c>
      <c r="H124" s="1115">
        <f>+('Ingresos Proyecciones'!H106*'Ley 617'!$G$58)*'Ingresos Proyecciones'!H151</f>
        <v>0</v>
      </c>
      <c r="I124" s="1115">
        <f>+('Ingresos Proyecciones'!I106*'Ley 617'!$G$58)*'Ingresos Proyecciones'!I151</f>
        <v>0</v>
      </c>
      <c r="J124" s="1115">
        <f>+('Ingresos Proyecciones'!J106*'Ley 617'!$G$58)*'Ingresos Proyecciones'!J151</f>
        <v>0</v>
      </c>
      <c r="K124" s="1115">
        <f>+('Ingresos Proyecciones'!K106*'Ley 617'!$G$58)*'Ingresos Proyecciones'!K151</f>
        <v>0</v>
      </c>
      <c r="L124" s="1115">
        <f>+('Ingresos Proyecciones'!L106*'Ley 617'!$G$58)*'Ingresos Proyecciones'!L151</f>
        <v>0</v>
      </c>
      <c r="M124" s="1115">
        <f>+('Ingresos Proyecciones'!M106*'Ley 617'!$G$58)*'Ingresos Proyecciones'!M151</f>
        <v>0</v>
      </c>
      <c r="N124" s="1115">
        <f>+('Ingresos Proyecciones'!N106*'Ley 617'!$G$58)*'Ingresos Proyecciones'!N151</f>
        <v>0</v>
      </c>
      <c r="O124" s="1115">
        <f>+('Ingresos Proyecciones'!O106*'Ley 617'!$G$58)*'Ingresos Proyecciones'!O151</f>
        <v>0</v>
      </c>
      <c r="P124" s="1115">
        <f>+('Ingresos Proyecciones'!P106*'Ley 617'!$G$58)*'Ingresos Proyecciones'!P151</f>
        <v>0</v>
      </c>
      <c r="Q124" s="802" t="e">
        <f>+('Ingresos Proyecciones'!#REF!*'Ley 617'!$G$58)*'Ingresos Proyecciones'!#REF!</f>
        <v>#REF!</v>
      </c>
    </row>
    <row r="125" spans="1:17" s="524" customFormat="1" ht="15" hidden="1" customHeight="1">
      <c r="A125" s="807" t="s">
        <v>444</v>
      </c>
      <c r="B125" s="1135" t="s">
        <v>502</v>
      </c>
      <c r="C125" s="1115">
        <f>+'Ingresos Proyecciones'!C120*'Ingresos Proyecciones'!C155</f>
        <v>0</v>
      </c>
      <c r="D125" s="1115">
        <f>+'Ingresos Proyecciones'!D120*'Ingresos Proyecciones'!D155</f>
        <v>0</v>
      </c>
      <c r="E125" s="1115">
        <f>+'Ingresos Proyecciones'!E120*'Ingresos Proyecciones'!E155</f>
        <v>0</v>
      </c>
      <c r="F125" s="1115">
        <f>+'Ingresos Proyecciones'!F120*'Ingresos Proyecciones'!F155</f>
        <v>0</v>
      </c>
      <c r="G125" s="1115">
        <f>+'Ingresos Proyecciones'!G120*'Ingresos Proyecciones'!G155</f>
        <v>0</v>
      </c>
      <c r="H125" s="1115">
        <f>+'Ingresos Proyecciones'!H120*'Ingresos Proyecciones'!H155</f>
        <v>0</v>
      </c>
      <c r="I125" s="1115">
        <f>+'Ingresos Proyecciones'!I120*'Ingresos Proyecciones'!I155</f>
        <v>0</v>
      </c>
      <c r="J125" s="1115">
        <f>+'Ingresos Proyecciones'!J120*'Ingresos Proyecciones'!J155</f>
        <v>0</v>
      </c>
      <c r="K125" s="1115">
        <f>+'Ingresos Proyecciones'!K120*'Ingresos Proyecciones'!K155</f>
        <v>0</v>
      </c>
      <c r="L125" s="1115">
        <f>+'Ingresos Proyecciones'!L120*'Ingresos Proyecciones'!L155</f>
        <v>0</v>
      </c>
      <c r="M125" s="1115">
        <f>+'Ingresos Proyecciones'!M120*'Ingresos Proyecciones'!M155</f>
        <v>0</v>
      </c>
      <c r="N125" s="1115">
        <f>+'Ingresos Proyecciones'!N120*'Ingresos Proyecciones'!N155</f>
        <v>0</v>
      </c>
      <c r="O125" s="1115">
        <f>+'Ingresos Proyecciones'!O120*'Ingresos Proyecciones'!O155</f>
        <v>0</v>
      </c>
      <c r="P125" s="1115">
        <f>+'Ingresos Proyecciones'!P120*'Ingresos Proyecciones'!P155</f>
        <v>0</v>
      </c>
      <c r="Q125" s="802" t="e">
        <f>+'Ingresos Proyecciones'!#REF!*'Ingresos Proyecciones'!#REF!</f>
        <v>#REF!</v>
      </c>
    </row>
    <row r="126" spans="1:17" s="524" customFormat="1" ht="15" hidden="1" customHeight="1">
      <c r="A126" s="807" t="s">
        <v>451</v>
      </c>
      <c r="B126" s="1135" t="s">
        <v>503</v>
      </c>
      <c r="C126" s="1115">
        <f>+'Ingresos Proyecciones'!C114*'Ingresos Proyecciones'!C154</f>
        <v>0</v>
      </c>
      <c r="D126" s="1115">
        <f>+'Ingresos Proyecciones'!D114*'Ingresos Proyecciones'!D154</f>
        <v>0</v>
      </c>
      <c r="E126" s="1115">
        <f>+'Ingresos Proyecciones'!E114*'Ingresos Proyecciones'!E154</f>
        <v>0</v>
      </c>
      <c r="F126" s="1115">
        <f>+'Ingresos Proyecciones'!F114*'Ingresos Proyecciones'!F154</f>
        <v>0</v>
      </c>
      <c r="G126" s="1115">
        <f>+'Ingresos Proyecciones'!G114*'Ingresos Proyecciones'!G154</f>
        <v>0</v>
      </c>
      <c r="H126" s="1115">
        <f>+'Ingresos Proyecciones'!H114*'Ingresos Proyecciones'!H154</f>
        <v>0</v>
      </c>
      <c r="I126" s="1115">
        <f>+'Ingresos Proyecciones'!I114*'Ingresos Proyecciones'!I154</f>
        <v>0</v>
      </c>
      <c r="J126" s="1115">
        <f>+'Ingresos Proyecciones'!J114*'Ingresos Proyecciones'!J154</f>
        <v>0</v>
      </c>
      <c r="K126" s="1115">
        <f>+'Ingresos Proyecciones'!K114*'Ingresos Proyecciones'!K154</f>
        <v>0</v>
      </c>
      <c r="L126" s="1115">
        <f>+'Ingresos Proyecciones'!L114*'Ingresos Proyecciones'!L154</f>
        <v>0</v>
      </c>
      <c r="M126" s="1115">
        <f>+'Ingresos Proyecciones'!M114*'Ingresos Proyecciones'!M154</f>
        <v>0</v>
      </c>
      <c r="N126" s="1115">
        <f>+'Ingresos Proyecciones'!N114*'Ingresos Proyecciones'!N154</f>
        <v>0</v>
      </c>
      <c r="O126" s="1115">
        <f>+'Ingresos Proyecciones'!O114*'Ingresos Proyecciones'!O154</f>
        <v>0</v>
      </c>
      <c r="P126" s="1115">
        <f>+'Ingresos Proyecciones'!P114*'Ingresos Proyecciones'!P154</f>
        <v>0</v>
      </c>
      <c r="Q126" s="802" t="e">
        <f>+'Ingresos Proyecciones'!#REF!*'Ingresos Proyecciones'!#REF!</f>
        <v>#REF!</v>
      </c>
    </row>
    <row r="127" spans="1:17" s="524" customFormat="1" ht="15" hidden="1" customHeight="1">
      <c r="A127" s="808" t="s">
        <v>891</v>
      </c>
      <c r="B127" s="1135" t="s">
        <v>561</v>
      </c>
      <c r="C127" s="1115">
        <f>IF(Ingresos!$B$10&lt;=2003,('Ingresos Proyecciones'!C59*0.49*'Ingresos Proyecciones'!C152),IF(Ingresos!$D$22="NO",('Ingresos Proyecciones'!C59*0.42*'Ingresos Proyecciones'!C152),IF(Ingresos!$D$22="SI",'Ingresos Proyecciones'!C59*0.52*'Ingresos Proyecciones'!C152)))</f>
        <v>0</v>
      </c>
      <c r="D127" s="1115">
        <f>IF(Ingresos!$B$10+1&lt;=2003,('Ingresos Proyecciones'!D59*0.49*'Ingresos Proyecciones'!D152),IF(Ingresos!$D$22="NO",('Ingresos Proyecciones'!D59*0.42*'Ingresos Proyecciones'!D152),IF(Ingresos!$D$22="SI",'Ingresos Proyecciones'!D59*0.52*'Ingresos Proyecciones'!D152)))</f>
        <v>0</v>
      </c>
      <c r="E127" s="1115">
        <f>IF(Ingresos!$B$10+2&lt;=2003,('Ingresos Proyecciones'!E59*0.49*'Ingresos Proyecciones'!E152),IF(Ingresos!$D$22="NO",('Ingresos Proyecciones'!E59*0.42*'Ingresos Proyecciones'!E152),IF(Ingresos!$D$22="SI",'Ingresos Proyecciones'!E59*0.52*'Ingresos Proyecciones'!E152)))</f>
        <v>0</v>
      </c>
      <c r="F127" s="1115">
        <f>IF(Ingresos!$B$10+3&lt;=2003,('Ingresos Proyecciones'!F59*0.49*'Ingresos Proyecciones'!F152),IF(Ingresos!$D$22="NO",('Ingresos Proyecciones'!F59*0.42*'Ingresos Proyecciones'!F152),IF(Ingresos!$D$22="SI",'Ingresos Proyecciones'!F59*0.52*'Ingresos Proyecciones'!F152)))</f>
        <v>0</v>
      </c>
      <c r="G127" s="1115">
        <f>IF(Ingresos!$B$10+4&lt;=2003,('Ingresos Proyecciones'!G59*0.49*'Ingresos Proyecciones'!G152),IF(Ingresos!$D$22="NO",('Ingresos Proyecciones'!G59*0.42*'Ingresos Proyecciones'!G152),IF(Ingresos!$D$22="SI",'Ingresos Proyecciones'!G59*0.52*'Ingresos Proyecciones'!G152)))</f>
        <v>0</v>
      </c>
      <c r="H127" s="1115">
        <f>IF(Ingresos!$B$10+5&lt;=2003,('Ingresos Proyecciones'!H59*0.49*'Ingresos Proyecciones'!H152),IF(Ingresos!$D$22="NO",('Ingresos Proyecciones'!H59*0.42*'Ingresos Proyecciones'!H152),IF(Ingresos!$D$22="SI",'Ingresos Proyecciones'!H59*0.52*'Ingresos Proyecciones'!H152)))</f>
        <v>0</v>
      </c>
      <c r="I127" s="1115">
        <f>IF(Ingresos!$B$10+6&lt;=2003,('Ingresos Proyecciones'!I59*0.49*'Ingresos Proyecciones'!I152),IF(Ingresos!$D$22="NO",('Ingresos Proyecciones'!I59*0.42*'Ingresos Proyecciones'!I152),IF(Ingresos!$D$22="SI",'Ingresos Proyecciones'!I59*0.52*'Ingresos Proyecciones'!I152)))</f>
        <v>0</v>
      </c>
      <c r="J127" s="1115">
        <f>IF(Ingresos!$B$10+7&lt;=2003,('Ingresos Proyecciones'!J59*0.49*'Ingresos Proyecciones'!J152),IF(Ingresos!$D$22="NO",('Ingresos Proyecciones'!J59*0.42*'Ingresos Proyecciones'!J152),IF(Ingresos!$D$22="SI",'Ingresos Proyecciones'!J59*0.52*'Ingresos Proyecciones'!J152)))</f>
        <v>0</v>
      </c>
      <c r="K127" s="1115">
        <f>IF(Ingresos!$B$10+8&lt;=2003,('Ingresos Proyecciones'!K59*0.49*'Ingresos Proyecciones'!K152),IF(Ingresos!$D$22="NO",('Ingresos Proyecciones'!K59*0.42*'Ingresos Proyecciones'!K152),IF(Ingresos!$D$22="SI",'Ingresos Proyecciones'!K59*0.52*'Ingresos Proyecciones'!K152)))</f>
        <v>0</v>
      </c>
      <c r="L127" s="1115">
        <f>IF(Ingresos!$B$10+9&lt;=2003,('Ingresos Proyecciones'!L59*0.49*'Ingresos Proyecciones'!L152),IF(Ingresos!$D$22="NO",('Ingresos Proyecciones'!L59*0.42*'Ingresos Proyecciones'!L152),IF(Ingresos!$D$22="SI",'Ingresos Proyecciones'!L59*0.52*'Ingresos Proyecciones'!L152)))</f>
        <v>0</v>
      </c>
      <c r="M127" s="1115">
        <f>IF(Ingresos!$B$10+10&lt;=2003,('Ingresos Proyecciones'!M59*0.49*'Ingresos Proyecciones'!M152),IF(Ingresos!$D$22="NO",('Ingresos Proyecciones'!M59*0.42*'Ingresos Proyecciones'!M152),IF(Ingresos!$D$22="SI",'Ingresos Proyecciones'!M59*0.52*'Ingresos Proyecciones'!M152)))</f>
        <v>0</v>
      </c>
      <c r="N127" s="1115">
        <f>IF(Ingresos!$B$10+11&lt;=2003,('Ingresos Proyecciones'!N59*0.49*'Ingresos Proyecciones'!N152),IF(Ingresos!$D$22="NO",('Ingresos Proyecciones'!N59*0.42*'Ingresos Proyecciones'!N152),IF(Ingresos!$D$22="SI",'Ingresos Proyecciones'!N59*0.52*'Ingresos Proyecciones'!N152)))</f>
        <v>0</v>
      </c>
      <c r="O127" s="1115">
        <f>IF(Ingresos!$B$10+12&lt;=2003,('Ingresos Proyecciones'!O59*0.49*'Ingresos Proyecciones'!O152),IF(Ingresos!$D$22="NO",('Ingresos Proyecciones'!O59*0.42*'Ingresos Proyecciones'!O152),IF(Ingresos!$D$22="SI",'Ingresos Proyecciones'!O59*0.52*'Ingresos Proyecciones'!O152)))</f>
        <v>0</v>
      </c>
      <c r="P127" s="1115">
        <f>IF(Ingresos!$B$10+13&lt;=2003,('Ingresos Proyecciones'!P59*0.49*'Ingresos Proyecciones'!P152),IF(Ingresos!$D$22="NO",('Ingresos Proyecciones'!P59*0.42*'Ingresos Proyecciones'!P152),IF(Ingresos!$D$22="SI",'Ingresos Proyecciones'!P59*0.52*'Ingresos Proyecciones'!P152)))</f>
        <v>0</v>
      </c>
      <c r="Q127" s="850" t="e">
        <f>IF(Ingresos!$B$10+14&lt;=2003,('Ingresos Proyecciones'!#REF!*0.49*'Ingresos Proyecciones'!#REF!),IF(Ingresos!$D$22="NO",('Ingresos Proyecciones'!#REF!*0.42*'Ingresos Proyecciones'!#REF!),IF(Ingresos!$D$22="SI",'Ingresos Proyecciones'!#REF!*0.52*'Ingresos Proyecciones'!#REF!)))</f>
        <v>#REF!</v>
      </c>
    </row>
    <row r="128" spans="1:17" s="524" customFormat="1" ht="15" hidden="1" customHeight="1">
      <c r="A128" s="809" t="s">
        <v>895</v>
      </c>
      <c r="B128" s="1135" t="s">
        <v>505</v>
      </c>
      <c r="C128" s="1115" t="e">
        <f>+('Ingresos Proyecciones'!C65-'Ley 617'!P43)*'Ingresos Proyecciones'!C153</f>
        <v>#REF!</v>
      </c>
      <c r="D128" s="1115" t="e">
        <f>+('Ingresos Proyecciones'!D65-'Ley 617'!Q43)*'Ingresos Proyecciones'!D153</f>
        <v>#REF!</v>
      </c>
      <c r="E128" s="1115" t="e">
        <f>+('Ingresos Proyecciones'!E65-'Ley 617'!R43)*'Ingresos Proyecciones'!E153</f>
        <v>#REF!</v>
      </c>
      <c r="F128" s="1115" t="e">
        <f>+('Ingresos Proyecciones'!F65-'Ley 617'!S43)*'Ingresos Proyecciones'!F153</f>
        <v>#REF!</v>
      </c>
      <c r="G128" s="1115" t="e">
        <f>+('Ingresos Proyecciones'!G65-'Ley 617'!T43)*'Ingresos Proyecciones'!G153</f>
        <v>#REF!</v>
      </c>
      <c r="H128" s="1115" t="e">
        <f>+('Ingresos Proyecciones'!H65-'Ley 617'!U43)*'Ingresos Proyecciones'!H153</f>
        <v>#REF!</v>
      </c>
      <c r="I128" s="1115">
        <f>+('Ingresos Proyecciones'!I65-'Ley 617'!V43)*'Ingresos Proyecciones'!I153</f>
        <v>0</v>
      </c>
      <c r="J128" s="1115">
        <f>+('Ingresos Proyecciones'!J65-'Ley 617'!W43)*'Ingresos Proyecciones'!J153</f>
        <v>0</v>
      </c>
      <c r="K128" s="1115">
        <f>+('Ingresos Proyecciones'!K65-'Ley 617'!X43)*'Ingresos Proyecciones'!K153</f>
        <v>0</v>
      </c>
      <c r="L128" s="1115">
        <f>+('Ingresos Proyecciones'!L65-'Ley 617'!Y43)*'Ingresos Proyecciones'!L153</f>
        <v>0</v>
      </c>
      <c r="M128" s="1115">
        <f>+('Ingresos Proyecciones'!M65-'Ley 617'!Z43)*'Ingresos Proyecciones'!M153</f>
        <v>0</v>
      </c>
      <c r="N128" s="1115">
        <f>+('Ingresos Proyecciones'!N65-'Ley 617'!AA43)*'Ingresos Proyecciones'!N153</f>
        <v>0</v>
      </c>
      <c r="O128" s="1115">
        <f>+('Ingresos Proyecciones'!O65-'Ley 617'!AB43)*'Ingresos Proyecciones'!O153</f>
        <v>0</v>
      </c>
      <c r="P128" s="1115">
        <f>+('Ingresos Proyecciones'!P65-'Ley 617'!AC43)*'Ingresos Proyecciones'!P153</f>
        <v>0</v>
      </c>
      <c r="Q128" s="802" t="e">
        <f>+('Ingresos Proyecciones'!#REF!-'Ley 617'!#REF!)*'Ingresos Proyecciones'!#REF!</f>
        <v>#REF!</v>
      </c>
    </row>
    <row r="129" spans="1:17" s="524" customFormat="1" ht="15" hidden="1" customHeight="1">
      <c r="A129" s="809" t="s">
        <v>506</v>
      </c>
      <c r="B129" s="1135" t="s">
        <v>507</v>
      </c>
      <c r="C129" s="1115">
        <f>+'Ingresos Proyecciones'!C99</f>
        <v>0</v>
      </c>
      <c r="D129" s="1115">
        <f>+'Ingresos Proyecciones'!D99</f>
        <v>0</v>
      </c>
      <c r="E129" s="1115">
        <f>+'Ingresos Proyecciones'!E99</f>
        <v>0</v>
      </c>
      <c r="F129" s="1115">
        <f>+'Ingresos Proyecciones'!F99</f>
        <v>0</v>
      </c>
      <c r="G129" s="1115">
        <f>+'Ingresos Proyecciones'!G99</f>
        <v>0</v>
      </c>
      <c r="H129" s="1115">
        <f>+'Ingresos Proyecciones'!H99</f>
        <v>0</v>
      </c>
      <c r="I129" s="1115">
        <f>+'Ingresos Proyecciones'!I99</f>
        <v>0</v>
      </c>
      <c r="J129" s="1115">
        <f>+'Ingresos Proyecciones'!J99</f>
        <v>0</v>
      </c>
      <c r="K129" s="1115">
        <f>+'Ingresos Proyecciones'!K99</f>
        <v>0</v>
      </c>
      <c r="L129" s="1115">
        <f>+'Ingresos Proyecciones'!L99</f>
        <v>0</v>
      </c>
      <c r="M129" s="1115">
        <f>+'Ingresos Proyecciones'!M99</f>
        <v>0</v>
      </c>
      <c r="N129" s="1115">
        <f>+'Ingresos Proyecciones'!N99</f>
        <v>0</v>
      </c>
      <c r="O129" s="1115">
        <f>+'Ingresos Proyecciones'!O99</f>
        <v>0</v>
      </c>
      <c r="P129" s="1115">
        <f>+'Ingresos Proyecciones'!P99</f>
        <v>0</v>
      </c>
      <c r="Q129" s="802" t="e">
        <f>+'Ingresos Proyecciones'!#REF!</f>
        <v>#REF!</v>
      </c>
    </row>
    <row r="130" spans="1:17" s="524" customFormat="1" ht="18.75" customHeight="1">
      <c r="A130" s="624" t="s">
        <v>508</v>
      </c>
      <c r="B130" s="1123" t="s">
        <v>509</v>
      </c>
      <c r="C130" s="1114" t="e">
        <f>+C34</f>
        <v>#REF!</v>
      </c>
      <c r="D130" s="1114" t="e">
        <f t="shared" ref="D130:Q130" si="41">+D34</f>
        <v>#REF!</v>
      </c>
      <c r="E130" s="1114" t="e">
        <f t="shared" si="41"/>
        <v>#REF!</v>
      </c>
      <c r="F130" s="1114" t="e">
        <f t="shared" si="41"/>
        <v>#REF!</v>
      </c>
      <c r="G130" s="1114" t="e">
        <f t="shared" si="41"/>
        <v>#REF!</v>
      </c>
      <c r="H130" s="1114" t="e">
        <f t="shared" si="41"/>
        <v>#REF!</v>
      </c>
      <c r="I130" s="1114" t="e">
        <f t="shared" si="41"/>
        <v>#REF!</v>
      </c>
      <c r="J130" s="1114" t="e">
        <f t="shared" si="41"/>
        <v>#REF!</v>
      </c>
      <c r="K130" s="1114" t="e">
        <f t="shared" si="41"/>
        <v>#REF!</v>
      </c>
      <c r="L130" s="1114" t="e">
        <f t="shared" si="41"/>
        <v>#REF!</v>
      </c>
      <c r="M130" s="1114" t="e">
        <f t="shared" si="41"/>
        <v>#REF!</v>
      </c>
      <c r="N130" s="1114" t="e">
        <f t="shared" si="41"/>
        <v>#REF!</v>
      </c>
      <c r="O130" s="1114" t="e">
        <f t="shared" si="41"/>
        <v>#REF!</v>
      </c>
      <c r="P130" s="1114" t="e">
        <f t="shared" si="41"/>
        <v>#REF!</v>
      </c>
      <c r="Q130" s="791" t="e">
        <f t="shared" si="41"/>
        <v>#REF!</v>
      </c>
    </row>
    <row r="131" spans="1:17" s="524" customFormat="1" ht="18.75" customHeight="1">
      <c r="A131" s="810" t="s">
        <v>268</v>
      </c>
      <c r="B131" s="1123" t="s">
        <v>269</v>
      </c>
      <c r="C131" s="1114">
        <f>SUM(C132:C141)</f>
        <v>0</v>
      </c>
      <c r="D131" s="1114">
        <f t="shared" ref="D131:Q131" si="42">SUM(D132:D141)</f>
        <v>0</v>
      </c>
      <c r="E131" s="1114">
        <f t="shared" si="42"/>
        <v>0</v>
      </c>
      <c r="F131" s="1114">
        <f t="shared" si="42"/>
        <v>0</v>
      </c>
      <c r="G131" s="1114">
        <f t="shared" si="42"/>
        <v>0</v>
      </c>
      <c r="H131" s="1114">
        <f t="shared" si="42"/>
        <v>0</v>
      </c>
      <c r="I131" s="1114">
        <f t="shared" si="42"/>
        <v>0</v>
      </c>
      <c r="J131" s="1114">
        <f t="shared" si="42"/>
        <v>0</v>
      </c>
      <c r="K131" s="1114">
        <f t="shared" si="42"/>
        <v>0</v>
      </c>
      <c r="L131" s="1114">
        <f t="shared" si="42"/>
        <v>0</v>
      </c>
      <c r="M131" s="1114">
        <f t="shared" si="42"/>
        <v>0</v>
      </c>
      <c r="N131" s="1114">
        <f t="shared" si="42"/>
        <v>0</v>
      </c>
      <c r="O131" s="1114">
        <f t="shared" si="42"/>
        <v>0</v>
      </c>
      <c r="P131" s="1114">
        <f t="shared" si="42"/>
        <v>0</v>
      </c>
      <c r="Q131" s="800">
        <f t="shared" si="42"/>
        <v>0</v>
      </c>
    </row>
    <row r="132" spans="1:17" s="524" customFormat="1" ht="15" hidden="1" customHeight="1">
      <c r="A132" s="810" t="s">
        <v>270</v>
      </c>
      <c r="B132" s="1135" t="s">
        <v>271</v>
      </c>
      <c r="C132" s="1115">
        <f>IF(Ingresos!$D$22="SI",'Pasivo a Cancelar y Deuda'!C55,'Pasivo a Cancelar y Deuda'!C57)</f>
        <v>0</v>
      </c>
      <c r="D132" s="1115">
        <f>IF(Ingresos!$D$22="SI",'Pasivo a Cancelar y Deuda'!D55,'Pasivo a Cancelar y Deuda'!D57)</f>
        <v>0</v>
      </c>
      <c r="E132" s="1115">
        <f>IF(Ingresos!$D$22="SI",'Pasivo a Cancelar y Deuda'!E55,'Pasivo a Cancelar y Deuda'!E57)</f>
        <v>0</v>
      </c>
      <c r="F132" s="1115">
        <f>IF(Ingresos!$D$22="SI",'Pasivo a Cancelar y Deuda'!F55,'Pasivo a Cancelar y Deuda'!F57)</f>
        <v>0</v>
      </c>
      <c r="G132" s="1115">
        <f>IF(Ingresos!$D$22="SI",'Pasivo a Cancelar y Deuda'!G55,'Pasivo a Cancelar y Deuda'!G57)</f>
        <v>0</v>
      </c>
      <c r="H132" s="1115">
        <f>IF(Ingresos!$D$22="SI",'Pasivo a Cancelar y Deuda'!H55,'Pasivo a Cancelar y Deuda'!H57)</f>
        <v>0</v>
      </c>
      <c r="I132" s="1115">
        <f>IF(Ingresos!$D$22="SI",'Pasivo a Cancelar y Deuda'!I55,'Pasivo a Cancelar y Deuda'!I57)</f>
        <v>0</v>
      </c>
      <c r="J132" s="1115">
        <f>IF(Ingresos!$D$22="SI",'Pasivo a Cancelar y Deuda'!J55,'Pasivo a Cancelar y Deuda'!J57)</f>
        <v>0</v>
      </c>
      <c r="K132" s="1115">
        <f>IF(Ingresos!$D$22="SI",'Pasivo a Cancelar y Deuda'!K55,'Pasivo a Cancelar y Deuda'!K57)</f>
        <v>0</v>
      </c>
      <c r="L132" s="1115">
        <f>IF(Ingresos!$D$22="SI",'Pasivo a Cancelar y Deuda'!L55,'Pasivo a Cancelar y Deuda'!L57)</f>
        <v>0</v>
      </c>
      <c r="M132" s="1115">
        <f>IF(Ingresos!$D$22="SI",'Pasivo a Cancelar y Deuda'!M55,'Pasivo a Cancelar y Deuda'!M57)</f>
        <v>0</v>
      </c>
      <c r="N132" s="1115">
        <f>IF(Ingresos!$D$22="SI",'Pasivo a Cancelar y Deuda'!N55,'Pasivo a Cancelar y Deuda'!N57)</f>
        <v>0</v>
      </c>
      <c r="O132" s="1115">
        <f>IF(Ingresos!$D$22="SI",'Pasivo a Cancelar y Deuda'!O55,'Pasivo a Cancelar y Deuda'!O57)</f>
        <v>0</v>
      </c>
      <c r="P132" s="1115">
        <f>IF(Ingresos!$D$22="SI",'Pasivo a Cancelar y Deuda'!P55,'Pasivo a Cancelar y Deuda'!P57)</f>
        <v>0</v>
      </c>
      <c r="Q132" s="802">
        <f>IF(Ingresos!$D$22="SI",'Pasivo a Cancelar y Deuda'!Q55,'Pasivo a Cancelar y Deuda'!Q57)</f>
        <v>0</v>
      </c>
    </row>
    <row r="133" spans="1:17" s="524" customFormat="1" ht="15" hidden="1" customHeight="1">
      <c r="A133" s="810" t="s">
        <v>272</v>
      </c>
      <c r="B133" s="1135" t="s">
        <v>273</v>
      </c>
      <c r="C133" s="1115">
        <f>IF(Ingresos!$D$22="SI",'Pasivo a Cancelar y Deuda'!C58,'Pasivo a Cancelar y Deuda'!C60)</f>
        <v>0</v>
      </c>
      <c r="D133" s="1115">
        <f>IF(Ingresos!$D$22="SI",'Pasivo a Cancelar y Deuda'!D58,'Pasivo a Cancelar y Deuda'!D60)</f>
        <v>0</v>
      </c>
      <c r="E133" s="1115">
        <f>IF(Ingresos!$D$22="SI",'Pasivo a Cancelar y Deuda'!E58,'Pasivo a Cancelar y Deuda'!E60)</f>
        <v>0</v>
      </c>
      <c r="F133" s="1115">
        <f>IF(Ingresos!$D$22="SI",'Pasivo a Cancelar y Deuda'!F58,'Pasivo a Cancelar y Deuda'!F60)</f>
        <v>0</v>
      </c>
      <c r="G133" s="1115">
        <f>IF(Ingresos!$D$22="SI",'Pasivo a Cancelar y Deuda'!G58,'Pasivo a Cancelar y Deuda'!G60)</f>
        <v>0</v>
      </c>
      <c r="H133" s="1115">
        <f>IF(Ingresos!$D$22="SI",'Pasivo a Cancelar y Deuda'!H58,'Pasivo a Cancelar y Deuda'!H60)</f>
        <v>0</v>
      </c>
      <c r="I133" s="1115">
        <f>IF(Ingresos!$D$22="SI",'Pasivo a Cancelar y Deuda'!I58,'Pasivo a Cancelar y Deuda'!I60)</f>
        <v>0</v>
      </c>
      <c r="J133" s="1115">
        <f>IF(Ingresos!$D$22="SI",'Pasivo a Cancelar y Deuda'!J58,'Pasivo a Cancelar y Deuda'!J60)</f>
        <v>0</v>
      </c>
      <c r="K133" s="1115">
        <f>IF(Ingresos!$D$22="SI",'Pasivo a Cancelar y Deuda'!K58,'Pasivo a Cancelar y Deuda'!K60)</f>
        <v>0</v>
      </c>
      <c r="L133" s="1115">
        <f>IF(Ingresos!$D$22="SI",'Pasivo a Cancelar y Deuda'!L58,'Pasivo a Cancelar y Deuda'!L60)</f>
        <v>0</v>
      </c>
      <c r="M133" s="1115">
        <f>IF(Ingresos!$D$22="SI",'Pasivo a Cancelar y Deuda'!M58,'Pasivo a Cancelar y Deuda'!M60)</f>
        <v>0</v>
      </c>
      <c r="N133" s="1115">
        <f>IF(Ingresos!$D$22="SI",'Pasivo a Cancelar y Deuda'!N58,'Pasivo a Cancelar y Deuda'!N60)</f>
        <v>0</v>
      </c>
      <c r="O133" s="1115">
        <f>IF(Ingresos!$D$22="SI",'Pasivo a Cancelar y Deuda'!O58,'Pasivo a Cancelar y Deuda'!O60)</f>
        <v>0</v>
      </c>
      <c r="P133" s="1115">
        <f>IF(Ingresos!$D$22="SI",'Pasivo a Cancelar y Deuda'!P58,'Pasivo a Cancelar y Deuda'!P60)</f>
        <v>0</v>
      </c>
      <c r="Q133" s="802">
        <f>IF(Ingresos!$D$22="SI",'Pasivo a Cancelar y Deuda'!Q58,'Pasivo a Cancelar y Deuda'!Q60)</f>
        <v>0</v>
      </c>
    </row>
    <row r="134" spans="1:17" s="524" customFormat="1" ht="15" hidden="1" customHeight="1">
      <c r="A134" s="810" t="s">
        <v>274</v>
      </c>
      <c r="B134" s="1135" t="s">
        <v>275</v>
      </c>
      <c r="C134" s="1115">
        <f>IF(Ingresos!$D$22="SI",'Pasivo a Cancelar y Deuda'!C61,'Pasivo a Cancelar y Deuda'!C63)</f>
        <v>0</v>
      </c>
      <c r="D134" s="1115">
        <f>IF(Ingresos!$D$22="SI",'Pasivo a Cancelar y Deuda'!D61,'Pasivo a Cancelar y Deuda'!D63)</f>
        <v>0</v>
      </c>
      <c r="E134" s="1115">
        <f>IF(Ingresos!$D$22="SI",'Pasivo a Cancelar y Deuda'!E61,'Pasivo a Cancelar y Deuda'!E63)</f>
        <v>0</v>
      </c>
      <c r="F134" s="1115">
        <f>IF(Ingresos!$D$22="SI",'Pasivo a Cancelar y Deuda'!F61,'Pasivo a Cancelar y Deuda'!F63)</f>
        <v>0</v>
      </c>
      <c r="G134" s="1115">
        <f>IF(Ingresos!$D$22="SI",'Pasivo a Cancelar y Deuda'!G61,'Pasivo a Cancelar y Deuda'!G63)</f>
        <v>0</v>
      </c>
      <c r="H134" s="1115">
        <f>IF(Ingresos!$D$22="SI",'Pasivo a Cancelar y Deuda'!H61,'Pasivo a Cancelar y Deuda'!H63)</f>
        <v>0</v>
      </c>
      <c r="I134" s="1115">
        <f>IF(Ingresos!$D$22="SI",'Pasivo a Cancelar y Deuda'!I61,'Pasivo a Cancelar y Deuda'!I63)</f>
        <v>0</v>
      </c>
      <c r="J134" s="1115">
        <f>IF(Ingresos!$D$22="SI",'Pasivo a Cancelar y Deuda'!J61,'Pasivo a Cancelar y Deuda'!J63)</f>
        <v>0</v>
      </c>
      <c r="K134" s="1115">
        <f>IF(Ingresos!$D$22="SI",'Pasivo a Cancelar y Deuda'!K61,'Pasivo a Cancelar y Deuda'!K63)</f>
        <v>0</v>
      </c>
      <c r="L134" s="1115">
        <f>IF(Ingresos!$D$22="SI",'Pasivo a Cancelar y Deuda'!L61,'Pasivo a Cancelar y Deuda'!L63)</f>
        <v>0</v>
      </c>
      <c r="M134" s="1115">
        <f>IF(Ingresos!$D$22="SI",'Pasivo a Cancelar y Deuda'!M61,'Pasivo a Cancelar y Deuda'!M63)</f>
        <v>0</v>
      </c>
      <c r="N134" s="1115">
        <f>IF(Ingresos!$D$22="SI",'Pasivo a Cancelar y Deuda'!N61,'Pasivo a Cancelar y Deuda'!N63)</f>
        <v>0</v>
      </c>
      <c r="O134" s="1115">
        <f>IF(Ingresos!$D$22="SI",'Pasivo a Cancelar y Deuda'!O61,'Pasivo a Cancelar y Deuda'!O63)</f>
        <v>0</v>
      </c>
      <c r="P134" s="1115">
        <f>IF(Ingresos!$D$22="SI",'Pasivo a Cancelar y Deuda'!P61,'Pasivo a Cancelar y Deuda'!P63)</f>
        <v>0</v>
      </c>
      <c r="Q134" s="802">
        <f>IF(Ingresos!$D$22="SI",'Pasivo a Cancelar y Deuda'!Q61,'Pasivo a Cancelar y Deuda'!Q63)</f>
        <v>0</v>
      </c>
    </row>
    <row r="135" spans="1:17" s="524" customFormat="1" ht="15" hidden="1" customHeight="1">
      <c r="A135" s="810" t="s">
        <v>276</v>
      </c>
      <c r="B135" s="1135" t="s">
        <v>277</v>
      </c>
      <c r="C135" s="1115">
        <f>IF(Ingresos!$D$22="SI",'Pasivo a Cancelar y Deuda'!C64,'Pasivo a Cancelar y Deuda'!C66)</f>
        <v>0</v>
      </c>
      <c r="D135" s="1115">
        <f>IF(Ingresos!$D$22="SI",'Pasivo a Cancelar y Deuda'!D64,'Pasivo a Cancelar y Deuda'!D66)</f>
        <v>0</v>
      </c>
      <c r="E135" s="1115">
        <f>IF(Ingresos!$D$22="SI",'Pasivo a Cancelar y Deuda'!E64,'Pasivo a Cancelar y Deuda'!E66)</f>
        <v>0</v>
      </c>
      <c r="F135" s="1115">
        <f>IF(Ingresos!$D$22="SI",'Pasivo a Cancelar y Deuda'!F64,'Pasivo a Cancelar y Deuda'!F66)</f>
        <v>0</v>
      </c>
      <c r="G135" s="1115">
        <f>IF(Ingresos!$D$22="SI",'Pasivo a Cancelar y Deuda'!G64,'Pasivo a Cancelar y Deuda'!G66)</f>
        <v>0</v>
      </c>
      <c r="H135" s="1115">
        <f>IF(Ingresos!$D$22="SI",'Pasivo a Cancelar y Deuda'!H64,'Pasivo a Cancelar y Deuda'!H66)</f>
        <v>0</v>
      </c>
      <c r="I135" s="1115">
        <f>IF(Ingresos!$D$22="SI",'Pasivo a Cancelar y Deuda'!I64,'Pasivo a Cancelar y Deuda'!I66)</f>
        <v>0</v>
      </c>
      <c r="J135" s="1115">
        <f>IF(Ingresos!$D$22="SI",'Pasivo a Cancelar y Deuda'!J64,'Pasivo a Cancelar y Deuda'!J66)</f>
        <v>0</v>
      </c>
      <c r="K135" s="1115">
        <f>IF(Ingresos!$D$22="SI",'Pasivo a Cancelar y Deuda'!K64,'Pasivo a Cancelar y Deuda'!K66)</f>
        <v>0</v>
      </c>
      <c r="L135" s="1115">
        <f>IF(Ingresos!$D$22="SI",'Pasivo a Cancelar y Deuda'!L64,'Pasivo a Cancelar y Deuda'!L66)</f>
        <v>0</v>
      </c>
      <c r="M135" s="1115">
        <f>IF(Ingresos!$D$22="SI",'Pasivo a Cancelar y Deuda'!M64,'Pasivo a Cancelar y Deuda'!M66)</f>
        <v>0</v>
      </c>
      <c r="N135" s="1115">
        <f>IF(Ingresos!$D$22="SI",'Pasivo a Cancelar y Deuda'!N64,'Pasivo a Cancelar y Deuda'!N66)</f>
        <v>0</v>
      </c>
      <c r="O135" s="1115">
        <f>IF(Ingresos!$D$22="SI",'Pasivo a Cancelar y Deuda'!O64,'Pasivo a Cancelar y Deuda'!O66)</f>
        <v>0</v>
      </c>
      <c r="P135" s="1115">
        <f>IF(Ingresos!$D$22="SI",'Pasivo a Cancelar y Deuda'!P64,'Pasivo a Cancelar y Deuda'!P66)</f>
        <v>0</v>
      </c>
      <c r="Q135" s="802">
        <f>IF(Ingresos!$D$22="SI",'Pasivo a Cancelar y Deuda'!Q64,'Pasivo a Cancelar y Deuda'!Q66)</f>
        <v>0</v>
      </c>
    </row>
    <row r="136" spans="1:17" s="524" customFormat="1" ht="15" hidden="1" customHeight="1">
      <c r="A136" s="810" t="s">
        <v>278</v>
      </c>
      <c r="B136" s="1135" t="s">
        <v>279</v>
      </c>
      <c r="C136" s="1115">
        <f>IF(Ingresos!$D$22="SI",'Pasivo a Cancelar y Deuda'!C67,'Pasivo a Cancelar y Deuda'!C69)</f>
        <v>0</v>
      </c>
      <c r="D136" s="1115">
        <f>IF(Ingresos!$D$22="SI",'Pasivo a Cancelar y Deuda'!D67,'Pasivo a Cancelar y Deuda'!D69)</f>
        <v>0</v>
      </c>
      <c r="E136" s="1115">
        <f>IF(Ingresos!$D$22="SI",'Pasivo a Cancelar y Deuda'!E67,'Pasivo a Cancelar y Deuda'!E69)</f>
        <v>0</v>
      </c>
      <c r="F136" s="1115">
        <f>IF(Ingresos!$D$22="SI",'Pasivo a Cancelar y Deuda'!F67,'Pasivo a Cancelar y Deuda'!F69)</f>
        <v>0</v>
      </c>
      <c r="G136" s="1115">
        <f>IF(Ingresos!$D$22="SI",'Pasivo a Cancelar y Deuda'!G67,'Pasivo a Cancelar y Deuda'!G69)</f>
        <v>0</v>
      </c>
      <c r="H136" s="1115">
        <f>IF(Ingresos!$D$22="SI",'Pasivo a Cancelar y Deuda'!H67,'Pasivo a Cancelar y Deuda'!H69)</f>
        <v>0</v>
      </c>
      <c r="I136" s="1115">
        <f>IF(Ingresos!$D$22="SI",'Pasivo a Cancelar y Deuda'!I67,'Pasivo a Cancelar y Deuda'!I69)</f>
        <v>0</v>
      </c>
      <c r="J136" s="1115">
        <f>IF(Ingresos!$D$22="SI",'Pasivo a Cancelar y Deuda'!J67,'Pasivo a Cancelar y Deuda'!J69)</f>
        <v>0</v>
      </c>
      <c r="K136" s="1115">
        <f>IF(Ingresos!$D$22="SI",'Pasivo a Cancelar y Deuda'!K67,'Pasivo a Cancelar y Deuda'!K69)</f>
        <v>0</v>
      </c>
      <c r="L136" s="1115">
        <f>IF(Ingresos!$D$22="SI",'Pasivo a Cancelar y Deuda'!L67,'Pasivo a Cancelar y Deuda'!L69)</f>
        <v>0</v>
      </c>
      <c r="M136" s="1115">
        <f>IF(Ingresos!$D$22="SI",'Pasivo a Cancelar y Deuda'!M67,'Pasivo a Cancelar y Deuda'!M69)</f>
        <v>0</v>
      </c>
      <c r="N136" s="1115">
        <f>IF(Ingresos!$D$22="SI",'Pasivo a Cancelar y Deuda'!N67,'Pasivo a Cancelar y Deuda'!N69)</f>
        <v>0</v>
      </c>
      <c r="O136" s="1115">
        <f>IF(Ingresos!$D$22="SI",'Pasivo a Cancelar y Deuda'!O67,'Pasivo a Cancelar y Deuda'!O69)</f>
        <v>0</v>
      </c>
      <c r="P136" s="1115">
        <f>IF(Ingresos!$D$22="SI",'Pasivo a Cancelar y Deuda'!P67,'Pasivo a Cancelar y Deuda'!P69)</f>
        <v>0</v>
      </c>
      <c r="Q136" s="802">
        <f>IF(Ingresos!$D$22="SI",'Pasivo a Cancelar y Deuda'!Q67,'Pasivo a Cancelar y Deuda'!Q69)</f>
        <v>0</v>
      </c>
    </row>
    <row r="137" spans="1:17" s="524" customFormat="1" ht="15" hidden="1" customHeight="1">
      <c r="A137" s="810" t="s">
        <v>280</v>
      </c>
      <c r="B137" s="1135" t="s">
        <v>281</v>
      </c>
      <c r="C137" s="1115">
        <f>IF(Ingresos!$D$22="SI",'Pasivo a Cancelar y Deuda'!C70,'Pasivo a Cancelar y Deuda'!C72)</f>
        <v>0</v>
      </c>
      <c r="D137" s="1115">
        <f>IF(Ingresos!$D$22="SI",'Pasivo a Cancelar y Deuda'!D70,'Pasivo a Cancelar y Deuda'!D72)</f>
        <v>0</v>
      </c>
      <c r="E137" s="1115">
        <f>IF(Ingresos!$D$22="SI",'Pasivo a Cancelar y Deuda'!E70,'Pasivo a Cancelar y Deuda'!E72)</f>
        <v>0</v>
      </c>
      <c r="F137" s="1115">
        <f>IF(Ingresos!$D$22="SI",'Pasivo a Cancelar y Deuda'!F70,'Pasivo a Cancelar y Deuda'!F72)</f>
        <v>0</v>
      </c>
      <c r="G137" s="1115">
        <f>IF(Ingresos!$D$22="SI",'Pasivo a Cancelar y Deuda'!G70,'Pasivo a Cancelar y Deuda'!G72)</f>
        <v>0</v>
      </c>
      <c r="H137" s="1115">
        <f>IF(Ingresos!$D$22="SI",'Pasivo a Cancelar y Deuda'!H70,'Pasivo a Cancelar y Deuda'!H72)</f>
        <v>0</v>
      </c>
      <c r="I137" s="1115">
        <f>IF(Ingresos!$D$22="SI",'Pasivo a Cancelar y Deuda'!I70,'Pasivo a Cancelar y Deuda'!I72)</f>
        <v>0</v>
      </c>
      <c r="J137" s="1115">
        <f>IF(Ingresos!$D$22="SI",'Pasivo a Cancelar y Deuda'!J70,'Pasivo a Cancelar y Deuda'!J72)</f>
        <v>0</v>
      </c>
      <c r="K137" s="1115">
        <f>IF(Ingresos!$D$22="SI",'Pasivo a Cancelar y Deuda'!K70,'Pasivo a Cancelar y Deuda'!K72)</f>
        <v>0</v>
      </c>
      <c r="L137" s="1115">
        <f>IF(Ingresos!$D$22="SI",'Pasivo a Cancelar y Deuda'!L70,'Pasivo a Cancelar y Deuda'!L72)</f>
        <v>0</v>
      </c>
      <c r="M137" s="1115">
        <f>IF(Ingresos!$D$22="SI",'Pasivo a Cancelar y Deuda'!M70,'Pasivo a Cancelar y Deuda'!M72)</f>
        <v>0</v>
      </c>
      <c r="N137" s="1115">
        <f>IF(Ingresos!$D$22="SI",'Pasivo a Cancelar y Deuda'!N70,'Pasivo a Cancelar y Deuda'!N72)</f>
        <v>0</v>
      </c>
      <c r="O137" s="1115">
        <f>IF(Ingresos!$D$22="SI",'Pasivo a Cancelar y Deuda'!O70,'Pasivo a Cancelar y Deuda'!O72)</f>
        <v>0</v>
      </c>
      <c r="P137" s="1115">
        <f>IF(Ingresos!$D$22="SI",'Pasivo a Cancelar y Deuda'!P70,'Pasivo a Cancelar y Deuda'!P72)</f>
        <v>0</v>
      </c>
      <c r="Q137" s="802">
        <f>IF(Ingresos!$D$22="SI",'Pasivo a Cancelar y Deuda'!Q70,'Pasivo a Cancelar y Deuda'!Q72)</f>
        <v>0</v>
      </c>
    </row>
    <row r="138" spans="1:17" s="524" customFormat="1" ht="15" hidden="1" customHeight="1">
      <c r="A138" s="810" t="s">
        <v>282</v>
      </c>
      <c r="B138" s="1135" t="s">
        <v>283</v>
      </c>
      <c r="C138" s="1115">
        <f>IF(Ingresos!$D$22="SI",'Pasivo a Cancelar y Deuda'!C73,'Pasivo a Cancelar y Deuda'!C75)</f>
        <v>0</v>
      </c>
      <c r="D138" s="1115">
        <f>IF(Ingresos!$D$22="SI",'Pasivo a Cancelar y Deuda'!D73,'Pasivo a Cancelar y Deuda'!D75)</f>
        <v>0</v>
      </c>
      <c r="E138" s="1115">
        <f>IF(Ingresos!$D$22="SI",'Pasivo a Cancelar y Deuda'!E73,'Pasivo a Cancelar y Deuda'!E75)</f>
        <v>0</v>
      </c>
      <c r="F138" s="1115">
        <f>IF(Ingresos!$D$22="SI",'Pasivo a Cancelar y Deuda'!F73,'Pasivo a Cancelar y Deuda'!F75)</f>
        <v>0</v>
      </c>
      <c r="G138" s="1115">
        <f>IF(Ingresos!$D$22="SI",'Pasivo a Cancelar y Deuda'!G73,'Pasivo a Cancelar y Deuda'!G75)</f>
        <v>0</v>
      </c>
      <c r="H138" s="1115">
        <f>IF(Ingresos!$D$22="SI",'Pasivo a Cancelar y Deuda'!H73,'Pasivo a Cancelar y Deuda'!H75)</f>
        <v>0</v>
      </c>
      <c r="I138" s="1115">
        <f>IF(Ingresos!$D$22="SI",'Pasivo a Cancelar y Deuda'!I73,'Pasivo a Cancelar y Deuda'!I75)</f>
        <v>0</v>
      </c>
      <c r="J138" s="1115">
        <f>IF(Ingresos!$D$22="SI",'Pasivo a Cancelar y Deuda'!J73,'Pasivo a Cancelar y Deuda'!J75)</f>
        <v>0</v>
      </c>
      <c r="K138" s="1115">
        <f>IF(Ingresos!$D$22="SI",'Pasivo a Cancelar y Deuda'!K73,'Pasivo a Cancelar y Deuda'!K75)</f>
        <v>0</v>
      </c>
      <c r="L138" s="1115">
        <f>IF(Ingresos!$D$22="SI",'Pasivo a Cancelar y Deuda'!L73,'Pasivo a Cancelar y Deuda'!L75)</f>
        <v>0</v>
      </c>
      <c r="M138" s="1115">
        <f>IF(Ingresos!$D$22="SI",'Pasivo a Cancelar y Deuda'!M73,'Pasivo a Cancelar y Deuda'!M75)</f>
        <v>0</v>
      </c>
      <c r="N138" s="1115">
        <f>IF(Ingresos!$D$22="SI",'Pasivo a Cancelar y Deuda'!N73,'Pasivo a Cancelar y Deuda'!N75)</f>
        <v>0</v>
      </c>
      <c r="O138" s="1115">
        <f>IF(Ingresos!$D$22="SI",'Pasivo a Cancelar y Deuda'!O73,'Pasivo a Cancelar y Deuda'!O75)</f>
        <v>0</v>
      </c>
      <c r="P138" s="1115">
        <f>IF(Ingresos!$D$22="SI",'Pasivo a Cancelar y Deuda'!P73,'Pasivo a Cancelar y Deuda'!P75)</f>
        <v>0</v>
      </c>
      <c r="Q138" s="802">
        <f>IF(Ingresos!$D$22="SI",'Pasivo a Cancelar y Deuda'!Q73,'Pasivo a Cancelar y Deuda'!Q75)</f>
        <v>0</v>
      </c>
    </row>
    <row r="139" spans="1:17" s="524" customFormat="1" ht="15" hidden="1" customHeight="1">
      <c r="A139" s="810" t="s">
        <v>284</v>
      </c>
      <c r="B139" s="1135" t="s">
        <v>285</v>
      </c>
      <c r="C139" s="1115">
        <f>IF(Ingresos!$D$22="SI",'Pasivo a Cancelar y Deuda'!C76,'Pasivo a Cancelar y Deuda'!C78)</f>
        <v>0</v>
      </c>
      <c r="D139" s="1115">
        <f>IF(Ingresos!$D$22="SI",'Pasivo a Cancelar y Deuda'!D76,'Pasivo a Cancelar y Deuda'!D78)</f>
        <v>0</v>
      </c>
      <c r="E139" s="1115">
        <f>IF(Ingresos!$D$22="SI",'Pasivo a Cancelar y Deuda'!E76,'Pasivo a Cancelar y Deuda'!E78)</f>
        <v>0</v>
      </c>
      <c r="F139" s="1115">
        <f>IF(Ingresos!$D$22="SI",'Pasivo a Cancelar y Deuda'!F76,'Pasivo a Cancelar y Deuda'!F78)</f>
        <v>0</v>
      </c>
      <c r="G139" s="1115">
        <f>IF(Ingresos!$D$22="SI",'Pasivo a Cancelar y Deuda'!G76,'Pasivo a Cancelar y Deuda'!G78)</f>
        <v>0</v>
      </c>
      <c r="H139" s="1115">
        <f>IF(Ingresos!$D$22="SI",'Pasivo a Cancelar y Deuda'!H76,'Pasivo a Cancelar y Deuda'!H78)</f>
        <v>0</v>
      </c>
      <c r="I139" s="1115">
        <f>IF(Ingresos!$D$22="SI",'Pasivo a Cancelar y Deuda'!I76,'Pasivo a Cancelar y Deuda'!I78)</f>
        <v>0</v>
      </c>
      <c r="J139" s="1115">
        <f>IF(Ingresos!$D$22="SI",'Pasivo a Cancelar y Deuda'!J76,'Pasivo a Cancelar y Deuda'!J78)</f>
        <v>0</v>
      </c>
      <c r="K139" s="1115">
        <f>IF(Ingresos!$D$22="SI",'Pasivo a Cancelar y Deuda'!K76,'Pasivo a Cancelar y Deuda'!K78)</f>
        <v>0</v>
      </c>
      <c r="L139" s="1115">
        <f>IF(Ingresos!$D$22="SI",'Pasivo a Cancelar y Deuda'!L76,'Pasivo a Cancelar y Deuda'!L78)</f>
        <v>0</v>
      </c>
      <c r="M139" s="1115">
        <f>IF(Ingresos!$D$22="SI",'Pasivo a Cancelar y Deuda'!M76,'Pasivo a Cancelar y Deuda'!M78)</f>
        <v>0</v>
      </c>
      <c r="N139" s="1115">
        <f>IF(Ingresos!$D$22="SI",'Pasivo a Cancelar y Deuda'!N76,'Pasivo a Cancelar y Deuda'!N78)</f>
        <v>0</v>
      </c>
      <c r="O139" s="1115">
        <f>IF(Ingresos!$D$22="SI",'Pasivo a Cancelar y Deuda'!O76,'Pasivo a Cancelar y Deuda'!O78)</f>
        <v>0</v>
      </c>
      <c r="P139" s="1115">
        <f>IF(Ingresos!$D$22="SI",'Pasivo a Cancelar y Deuda'!P76,'Pasivo a Cancelar y Deuda'!P78)</f>
        <v>0</v>
      </c>
      <c r="Q139" s="802">
        <f>IF(Ingresos!$D$22="SI",'Pasivo a Cancelar y Deuda'!Q76,'Pasivo a Cancelar y Deuda'!Q78)</f>
        <v>0</v>
      </c>
    </row>
    <row r="140" spans="1:17" s="524" customFormat="1" ht="15" hidden="1" customHeight="1">
      <c r="A140" s="810" t="s">
        <v>286</v>
      </c>
      <c r="B140" s="1135" t="s">
        <v>287</v>
      </c>
      <c r="C140" s="1115">
        <f>IF(Ingresos!$D$22="SI",'Pasivo a Cancelar y Deuda'!C79,'Pasivo a Cancelar y Deuda'!C81)</f>
        <v>0</v>
      </c>
      <c r="D140" s="1115">
        <f>IF(Ingresos!$D$22="SI",'Pasivo a Cancelar y Deuda'!D79,'Pasivo a Cancelar y Deuda'!D81)</f>
        <v>0</v>
      </c>
      <c r="E140" s="1115">
        <f>IF(Ingresos!$D$22="SI",'Pasivo a Cancelar y Deuda'!E79,'Pasivo a Cancelar y Deuda'!E81)</f>
        <v>0</v>
      </c>
      <c r="F140" s="1115">
        <f>IF(Ingresos!$D$22="SI",'Pasivo a Cancelar y Deuda'!F79,'Pasivo a Cancelar y Deuda'!F81)</f>
        <v>0</v>
      </c>
      <c r="G140" s="1115">
        <f>IF(Ingresos!$D$22="SI",'Pasivo a Cancelar y Deuda'!G79,'Pasivo a Cancelar y Deuda'!G81)</f>
        <v>0</v>
      </c>
      <c r="H140" s="1115">
        <f>IF(Ingresos!$D$22="SI",'Pasivo a Cancelar y Deuda'!H79,'Pasivo a Cancelar y Deuda'!H81)</f>
        <v>0</v>
      </c>
      <c r="I140" s="1115">
        <f>IF(Ingresos!$D$22="SI",'Pasivo a Cancelar y Deuda'!I79,'Pasivo a Cancelar y Deuda'!I81)</f>
        <v>0</v>
      </c>
      <c r="J140" s="1115">
        <f>IF(Ingresos!$D$22="SI",'Pasivo a Cancelar y Deuda'!J79,'Pasivo a Cancelar y Deuda'!J81)</f>
        <v>0</v>
      </c>
      <c r="K140" s="1115">
        <f>IF(Ingresos!$D$22="SI",'Pasivo a Cancelar y Deuda'!K79,'Pasivo a Cancelar y Deuda'!K81)</f>
        <v>0</v>
      </c>
      <c r="L140" s="1115">
        <f>IF(Ingresos!$D$22="SI",'Pasivo a Cancelar y Deuda'!L79,'Pasivo a Cancelar y Deuda'!L81)</f>
        <v>0</v>
      </c>
      <c r="M140" s="1115">
        <f>IF(Ingresos!$D$22="SI",'Pasivo a Cancelar y Deuda'!M79,'Pasivo a Cancelar y Deuda'!M81)</f>
        <v>0</v>
      </c>
      <c r="N140" s="1115">
        <f>IF(Ingresos!$D$22="SI",'Pasivo a Cancelar y Deuda'!N79,'Pasivo a Cancelar y Deuda'!N81)</f>
        <v>0</v>
      </c>
      <c r="O140" s="1115">
        <f>IF(Ingresos!$D$22="SI",'Pasivo a Cancelar y Deuda'!O79,'Pasivo a Cancelar y Deuda'!O81)</f>
        <v>0</v>
      </c>
      <c r="P140" s="1115">
        <f>IF(Ingresos!$D$22="SI",'Pasivo a Cancelar y Deuda'!P79,'Pasivo a Cancelar y Deuda'!P81)</f>
        <v>0</v>
      </c>
      <c r="Q140" s="802">
        <f>IF(Ingresos!$D$22="SI",'Pasivo a Cancelar y Deuda'!Q79,'Pasivo a Cancelar y Deuda'!Q81)</f>
        <v>0</v>
      </c>
    </row>
    <row r="141" spans="1:17" s="524" customFormat="1" ht="15" hidden="1" customHeight="1">
      <c r="A141" s="810" t="s">
        <v>288</v>
      </c>
      <c r="B141" s="1135" t="s">
        <v>289</v>
      </c>
      <c r="C141" s="1115">
        <f>IF(Ingresos!$D$22="SI",'Pasivo a Cancelar y Deuda'!C82,'Pasivo a Cancelar y Deuda'!C84)</f>
        <v>0</v>
      </c>
      <c r="D141" s="1115">
        <f>IF(Ingresos!$D$22="SI",'Pasivo a Cancelar y Deuda'!D82,'Pasivo a Cancelar y Deuda'!D84)</f>
        <v>0</v>
      </c>
      <c r="E141" s="1115">
        <f>IF(Ingresos!$D$22="SI",'Pasivo a Cancelar y Deuda'!E82,'Pasivo a Cancelar y Deuda'!E84)</f>
        <v>0</v>
      </c>
      <c r="F141" s="1115">
        <f>IF(Ingresos!$D$22="SI",'Pasivo a Cancelar y Deuda'!F82,'Pasivo a Cancelar y Deuda'!F84)</f>
        <v>0</v>
      </c>
      <c r="G141" s="1115">
        <f>IF(Ingresos!$D$22="SI",'Pasivo a Cancelar y Deuda'!G82,'Pasivo a Cancelar y Deuda'!G84)</f>
        <v>0</v>
      </c>
      <c r="H141" s="1115">
        <f>IF(Ingresos!$D$22="SI",'Pasivo a Cancelar y Deuda'!H82,'Pasivo a Cancelar y Deuda'!H84)</f>
        <v>0</v>
      </c>
      <c r="I141" s="1115">
        <f>IF(Ingresos!$D$22="SI",'Pasivo a Cancelar y Deuda'!I82,'Pasivo a Cancelar y Deuda'!I84)</f>
        <v>0</v>
      </c>
      <c r="J141" s="1115">
        <f>IF(Ingresos!$D$22="SI",'Pasivo a Cancelar y Deuda'!J82,'Pasivo a Cancelar y Deuda'!J84)</f>
        <v>0</v>
      </c>
      <c r="K141" s="1115">
        <f>IF(Ingresos!$D$22="SI",'Pasivo a Cancelar y Deuda'!K82,'Pasivo a Cancelar y Deuda'!K84)</f>
        <v>0</v>
      </c>
      <c r="L141" s="1115">
        <f>IF(Ingresos!$D$22="SI",'Pasivo a Cancelar y Deuda'!L82,'Pasivo a Cancelar y Deuda'!L84)</f>
        <v>0</v>
      </c>
      <c r="M141" s="1115">
        <f>IF(Ingresos!$D$22="SI",'Pasivo a Cancelar y Deuda'!M82,'Pasivo a Cancelar y Deuda'!M84)</f>
        <v>0</v>
      </c>
      <c r="N141" s="1115">
        <f>IF(Ingresos!$D$22="SI",'Pasivo a Cancelar y Deuda'!N82,'Pasivo a Cancelar y Deuda'!N84)</f>
        <v>0</v>
      </c>
      <c r="O141" s="1115">
        <f>IF(Ingresos!$D$22="SI",'Pasivo a Cancelar y Deuda'!O82,'Pasivo a Cancelar y Deuda'!O84)</f>
        <v>0</v>
      </c>
      <c r="P141" s="1115">
        <f>IF(Ingresos!$D$22="SI",'Pasivo a Cancelar y Deuda'!P82,'Pasivo a Cancelar y Deuda'!P84)</f>
        <v>0</v>
      </c>
      <c r="Q141" s="802">
        <f>IF(Ingresos!$D$22="SI",'Pasivo a Cancelar y Deuda'!Q82,'Pasivo a Cancelar y Deuda'!Q84)</f>
        <v>0</v>
      </c>
    </row>
    <row r="142" spans="1:17" s="524" customFormat="1" ht="18.75" customHeight="1">
      <c r="A142" s="624" t="s">
        <v>510</v>
      </c>
      <c r="B142" s="1123" t="s">
        <v>511</v>
      </c>
      <c r="C142" s="1114" t="e">
        <f>+C118-C131</f>
        <v>#REF!</v>
      </c>
      <c r="D142" s="1114" t="e">
        <f t="shared" ref="D142:Q142" si="43">+D118-D131</f>
        <v>#REF!</v>
      </c>
      <c r="E142" s="1114" t="e">
        <f t="shared" si="43"/>
        <v>#REF!</v>
      </c>
      <c r="F142" s="1114" t="e">
        <f t="shared" si="43"/>
        <v>#REF!</v>
      </c>
      <c r="G142" s="1114" t="e">
        <f t="shared" si="43"/>
        <v>#REF!</v>
      </c>
      <c r="H142" s="1114" t="e">
        <f t="shared" si="43"/>
        <v>#REF!</v>
      </c>
      <c r="I142" s="1114" t="e">
        <f t="shared" si="43"/>
        <v>#REF!</v>
      </c>
      <c r="J142" s="1114" t="e">
        <f t="shared" si="43"/>
        <v>#REF!</v>
      </c>
      <c r="K142" s="1114" t="e">
        <f t="shared" si="43"/>
        <v>#REF!</v>
      </c>
      <c r="L142" s="1114" t="e">
        <f t="shared" si="43"/>
        <v>#REF!</v>
      </c>
      <c r="M142" s="1114" t="e">
        <f t="shared" si="43"/>
        <v>#REF!</v>
      </c>
      <c r="N142" s="1114" t="e">
        <f t="shared" si="43"/>
        <v>#REF!</v>
      </c>
      <c r="O142" s="1114" t="e">
        <f t="shared" si="43"/>
        <v>#REF!</v>
      </c>
      <c r="P142" s="1114" t="e">
        <f t="shared" si="43"/>
        <v>#REF!</v>
      </c>
      <c r="Q142" s="800" t="e">
        <f t="shared" si="43"/>
        <v>#REF!</v>
      </c>
    </row>
    <row r="143" spans="1:17" s="524" customFormat="1" ht="18.75" customHeight="1">
      <c r="A143" s="624" t="s">
        <v>512</v>
      </c>
      <c r="B143" s="1123" t="s">
        <v>513</v>
      </c>
      <c r="C143" s="1122"/>
      <c r="D143" s="1122"/>
      <c r="E143" s="1122"/>
      <c r="F143" s="1122"/>
      <c r="G143" s="1122"/>
      <c r="H143" s="1122"/>
      <c r="I143" s="1122"/>
      <c r="J143" s="1122"/>
      <c r="K143" s="1122"/>
      <c r="L143" s="1122"/>
      <c r="M143" s="1122"/>
      <c r="N143" s="1122"/>
      <c r="O143" s="1122"/>
      <c r="P143" s="1122"/>
      <c r="Q143" s="811"/>
    </row>
    <row r="144" spans="1:17" s="524" customFormat="1" ht="18.75" customHeight="1">
      <c r="A144" s="624" t="s">
        <v>514</v>
      </c>
      <c r="B144" s="1123" t="s">
        <v>388</v>
      </c>
      <c r="C144" s="1114" t="e">
        <f>SUM(C145:C146)</f>
        <v>#REF!</v>
      </c>
      <c r="D144" s="1114" t="e">
        <f>SUM(D145:D146)</f>
        <v>#REF!</v>
      </c>
      <c r="E144" s="1114" t="e">
        <f t="shared" ref="E144:Q144" si="44">SUM(E145:E146)</f>
        <v>#REF!</v>
      </c>
      <c r="F144" s="1114" t="e">
        <f t="shared" si="44"/>
        <v>#REF!</v>
      </c>
      <c r="G144" s="1114" t="e">
        <f t="shared" si="44"/>
        <v>#REF!</v>
      </c>
      <c r="H144" s="1114" t="e">
        <f t="shared" si="44"/>
        <v>#REF!</v>
      </c>
      <c r="I144" s="1114" t="e">
        <f t="shared" si="44"/>
        <v>#REF!</v>
      </c>
      <c r="J144" s="1114" t="e">
        <f t="shared" si="44"/>
        <v>#REF!</v>
      </c>
      <c r="K144" s="1114" t="e">
        <f t="shared" si="44"/>
        <v>#REF!</v>
      </c>
      <c r="L144" s="1114" t="e">
        <f t="shared" si="44"/>
        <v>#REF!</v>
      </c>
      <c r="M144" s="1114" t="e">
        <f t="shared" si="44"/>
        <v>#REF!</v>
      </c>
      <c r="N144" s="1114" t="e">
        <f t="shared" si="44"/>
        <v>#REF!</v>
      </c>
      <c r="O144" s="1114" t="e">
        <f t="shared" si="44"/>
        <v>#REF!</v>
      </c>
      <c r="P144" s="1114" t="e">
        <f t="shared" si="44"/>
        <v>#REF!</v>
      </c>
      <c r="Q144" s="800" t="e">
        <f t="shared" si="44"/>
        <v>#REF!</v>
      </c>
    </row>
    <row r="145" spans="1:17" s="524" customFormat="1" ht="18.75" customHeight="1">
      <c r="A145" s="624" t="s">
        <v>510</v>
      </c>
      <c r="B145" s="1135" t="s">
        <v>515</v>
      </c>
      <c r="C145" s="1115" t="e">
        <f>+C142</f>
        <v>#REF!</v>
      </c>
      <c r="D145" s="1115" t="e">
        <f>+D142</f>
        <v>#REF!</v>
      </c>
      <c r="E145" s="1115" t="e">
        <f t="shared" ref="E145:Q145" si="45">+E142</f>
        <v>#REF!</v>
      </c>
      <c r="F145" s="1115" t="e">
        <f t="shared" si="45"/>
        <v>#REF!</v>
      </c>
      <c r="G145" s="1115" t="e">
        <f t="shared" si="45"/>
        <v>#REF!</v>
      </c>
      <c r="H145" s="1115" t="e">
        <f t="shared" si="45"/>
        <v>#REF!</v>
      </c>
      <c r="I145" s="1115" t="e">
        <f t="shared" si="45"/>
        <v>#REF!</v>
      </c>
      <c r="J145" s="1115" t="e">
        <f t="shared" si="45"/>
        <v>#REF!</v>
      </c>
      <c r="K145" s="1115" t="e">
        <f t="shared" si="45"/>
        <v>#REF!</v>
      </c>
      <c r="L145" s="1115" t="e">
        <f t="shared" si="45"/>
        <v>#REF!</v>
      </c>
      <c r="M145" s="1115" t="e">
        <f t="shared" si="45"/>
        <v>#REF!</v>
      </c>
      <c r="N145" s="1115" t="e">
        <f t="shared" si="45"/>
        <v>#REF!</v>
      </c>
      <c r="O145" s="1115" t="e">
        <f t="shared" si="45"/>
        <v>#REF!</v>
      </c>
      <c r="P145" s="1115" t="e">
        <f t="shared" si="45"/>
        <v>#REF!</v>
      </c>
      <c r="Q145" s="802" t="e">
        <f t="shared" si="45"/>
        <v>#REF!</v>
      </c>
    </row>
    <row r="146" spans="1:17" s="524" customFormat="1" ht="18.75" customHeight="1">
      <c r="A146" s="810" t="s">
        <v>468</v>
      </c>
      <c r="B146" s="1135" t="s">
        <v>516</v>
      </c>
      <c r="C146" s="1115" t="e">
        <f>+C115</f>
        <v>#REF!</v>
      </c>
      <c r="D146" s="1115" t="e">
        <f>+D115</f>
        <v>#REF!</v>
      </c>
      <c r="E146" s="1115" t="e">
        <f t="shared" ref="E146:Q146" si="46">+E115</f>
        <v>#REF!</v>
      </c>
      <c r="F146" s="1115" t="e">
        <f t="shared" si="46"/>
        <v>#REF!</v>
      </c>
      <c r="G146" s="1115" t="e">
        <f t="shared" si="46"/>
        <v>#REF!</v>
      </c>
      <c r="H146" s="1115" t="e">
        <f t="shared" si="46"/>
        <v>#REF!</v>
      </c>
      <c r="I146" s="1115" t="e">
        <f t="shared" si="46"/>
        <v>#REF!</v>
      </c>
      <c r="J146" s="1115" t="e">
        <f t="shared" si="46"/>
        <v>#REF!</v>
      </c>
      <c r="K146" s="1115" t="e">
        <f t="shared" si="46"/>
        <v>#REF!</v>
      </c>
      <c r="L146" s="1115" t="e">
        <f t="shared" si="46"/>
        <v>#REF!</v>
      </c>
      <c r="M146" s="1115" t="e">
        <f t="shared" si="46"/>
        <v>#REF!</v>
      </c>
      <c r="N146" s="1115" t="e">
        <f t="shared" si="46"/>
        <v>#REF!</v>
      </c>
      <c r="O146" s="1115" t="e">
        <f t="shared" si="46"/>
        <v>#REF!</v>
      </c>
      <c r="P146" s="1115" t="e">
        <f t="shared" si="46"/>
        <v>#REF!</v>
      </c>
      <c r="Q146" s="802" t="e">
        <f t="shared" si="46"/>
        <v>#REF!</v>
      </c>
    </row>
    <row r="147" spans="1:17" s="524" customFormat="1" ht="18.75" customHeight="1">
      <c r="A147" s="810" t="s">
        <v>290</v>
      </c>
      <c r="B147" s="1123" t="s">
        <v>291</v>
      </c>
      <c r="C147" s="1114">
        <f>SUM(C148:C155)</f>
        <v>0</v>
      </c>
      <c r="D147" s="1114">
        <f t="shared" ref="D147:Q147" si="47">SUM(D148:D155)</f>
        <v>0</v>
      </c>
      <c r="E147" s="1114">
        <f t="shared" si="47"/>
        <v>0</v>
      </c>
      <c r="F147" s="1114">
        <f t="shared" si="47"/>
        <v>7500</v>
      </c>
      <c r="G147" s="1114">
        <f t="shared" si="47"/>
        <v>1560</v>
      </c>
      <c r="H147" s="1114">
        <f t="shared" si="47"/>
        <v>1622.4</v>
      </c>
      <c r="I147" s="1114">
        <f t="shared" si="47"/>
        <v>1687.296</v>
      </c>
      <c r="J147" s="1114">
        <f t="shared" si="47"/>
        <v>1754.7878400000002</v>
      </c>
      <c r="K147" s="1114">
        <f t="shared" si="47"/>
        <v>1824.9793536000002</v>
      </c>
      <c r="L147" s="1114">
        <f t="shared" si="47"/>
        <v>1897.9785277440003</v>
      </c>
      <c r="M147" s="1114">
        <f t="shared" si="47"/>
        <v>1973.8976688537605</v>
      </c>
      <c r="N147" s="1114">
        <f t="shared" si="47"/>
        <v>2052.8535756079109</v>
      </c>
      <c r="O147" s="1114">
        <f t="shared" si="47"/>
        <v>2134.9677186322274</v>
      </c>
      <c r="P147" s="1114">
        <f t="shared" si="47"/>
        <v>2220.3664273775166</v>
      </c>
      <c r="Q147" s="800">
        <f t="shared" si="47"/>
        <v>2309.1810844726174</v>
      </c>
    </row>
    <row r="148" spans="1:17" s="524" customFormat="1" ht="15" hidden="1" customHeight="1">
      <c r="A148" s="810" t="s">
        <v>292</v>
      </c>
      <c r="B148" s="1135" t="s">
        <v>293</v>
      </c>
      <c r="C148" s="1115">
        <f>+'Pasivo a Cancelar y Deuda'!C15</f>
        <v>0</v>
      </c>
      <c r="D148" s="1115">
        <f>+'Pasivo a Cancelar y Deuda'!D15</f>
        <v>0</v>
      </c>
      <c r="E148" s="1115">
        <f>+'Pasivo a Cancelar y Deuda'!E15</f>
        <v>0</v>
      </c>
      <c r="F148" s="1115">
        <f>+'Pasivo a Cancelar y Deuda'!F15</f>
        <v>0</v>
      </c>
      <c r="G148" s="1115">
        <f>+'Pasivo a Cancelar y Deuda'!G15</f>
        <v>0</v>
      </c>
      <c r="H148" s="1115">
        <f>+'Pasivo a Cancelar y Deuda'!H15</f>
        <v>0</v>
      </c>
      <c r="I148" s="1115">
        <f>+'Pasivo a Cancelar y Deuda'!I15</f>
        <v>0</v>
      </c>
      <c r="J148" s="1115">
        <f>+'Pasivo a Cancelar y Deuda'!J15</f>
        <v>0</v>
      </c>
      <c r="K148" s="1115">
        <f>+'Pasivo a Cancelar y Deuda'!K15</f>
        <v>0</v>
      </c>
      <c r="L148" s="1115">
        <f>+'Pasivo a Cancelar y Deuda'!L15</f>
        <v>0</v>
      </c>
      <c r="M148" s="1115">
        <f>+'Pasivo a Cancelar y Deuda'!M15</f>
        <v>0</v>
      </c>
      <c r="N148" s="1115">
        <f>+'Pasivo a Cancelar y Deuda'!N15</f>
        <v>0</v>
      </c>
      <c r="O148" s="1115">
        <f>+'Pasivo a Cancelar y Deuda'!O15</f>
        <v>0</v>
      </c>
      <c r="P148" s="1115">
        <f>+'Pasivo a Cancelar y Deuda'!P15</f>
        <v>0</v>
      </c>
      <c r="Q148" s="802">
        <f>+'Pasivo a Cancelar y Deuda'!Q15</f>
        <v>0</v>
      </c>
    </row>
    <row r="149" spans="1:17" s="524" customFormat="1" ht="15" hidden="1" customHeight="1">
      <c r="A149" s="810" t="s">
        <v>294</v>
      </c>
      <c r="B149" s="1135" t="s">
        <v>295</v>
      </c>
      <c r="C149" s="1115">
        <f>+'Pasivo a Cancelar y Deuda'!C16</f>
        <v>0</v>
      </c>
      <c r="D149" s="1115">
        <f>+'Pasivo a Cancelar y Deuda'!D16</f>
        <v>0</v>
      </c>
      <c r="E149" s="1115">
        <f>+'Pasivo a Cancelar y Deuda'!E16</f>
        <v>0</v>
      </c>
      <c r="F149" s="1115">
        <f>+'Pasivo a Cancelar y Deuda'!F16</f>
        <v>0</v>
      </c>
      <c r="G149" s="1115">
        <f>+'Pasivo a Cancelar y Deuda'!G16</f>
        <v>0</v>
      </c>
      <c r="H149" s="1115">
        <f>+'Pasivo a Cancelar y Deuda'!H16</f>
        <v>0</v>
      </c>
      <c r="I149" s="1115">
        <f>+'Pasivo a Cancelar y Deuda'!I16</f>
        <v>0</v>
      </c>
      <c r="J149" s="1115">
        <f>+'Pasivo a Cancelar y Deuda'!J16</f>
        <v>0</v>
      </c>
      <c r="K149" s="1115">
        <f>+'Pasivo a Cancelar y Deuda'!K16</f>
        <v>0</v>
      </c>
      <c r="L149" s="1115">
        <f>+'Pasivo a Cancelar y Deuda'!L16</f>
        <v>0</v>
      </c>
      <c r="M149" s="1115">
        <f>+'Pasivo a Cancelar y Deuda'!M16</f>
        <v>0</v>
      </c>
      <c r="N149" s="1115">
        <f>+'Pasivo a Cancelar y Deuda'!N16</f>
        <v>0</v>
      </c>
      <c r="O149" s="1115">
        <f>+'Pasivo a Cancelar y Deuda'!O16</f>
        <v>0</v>
      </c>
      <c r="P149" s="1115">
        <f>+'Pasivo a Cancelar y Deuda'!P16</f>
        <v>0</v>
      </c>
      <c r="Q149" s="802">
        <f>+'Pasivo a Cancelar y Deuda'!Q16</f>
        <v>0</v>
      </c>
    </row>
    <row r="150" spans="1:17" s="524" customFormat="1" ht="18.75" customHeight="1">
      <c r="A150" s="810" t="s">
        <v>296</v>
      </c>
      <c r="B150" s="1135" t="s">
        <v>297</v>
      </c>
      <c r="C150" s="1115">
        <f>+'Pasivo a Cancelar y Deuda'!C17</f>
        <v>0</v>
      </c>
      <c r="D150" s="1115">
        <f>+'Pasivo a Cancelar y Deuda'!D17</f>
        <v>0</v>
      </c>
      <c r="E150" s="1115">
        <f>+'Pasivo a Cancelar y Deuda'!E17</f>
        <v>0</v>
      </c>
      <c r="F150" s="1115">
        <v>6000</v>
      </c>
      <c r="G150" s="1115">
        <v>0</v>
      </c>
      <c r="H150" s="1115">
        <f t="shared" ref="H150:Q150" si="48">+G150*1.04</f>
        <v>0</v>
      </c>
      <c r="I150" s="1115">
        <f t="shared" si="48"/>
        <v>0</v>
      </c>
      <c r="J150" s="1115">
        <f t="shared" si="48"/>
        <v>0</v>
      </c>
      <c r="K150" s="1115">
        <f t="shared" si="48"/>
        <v>0</v>
      </c>
      <c r="L150" s="1115">
        <f t="shared" si="48"/>
        <v>0</v>
      </c>
      <c r="M150" s="1115">
        <f t="shared" si="48"/>
        <v>0</v>
      </c>
      <c r="N150" s="1115">
        <f t="shared" si="48"/>
        <v>0</v>
      </c>
      <c r="O150" s="1115">
        <f t="shared" si="48"/>
        <v>0</v>
      </c>
      <c r="P150" s="1115">
        <f t="shared" si="48"/>
        <v>0</v>
      </c>
      <c r="Q150" s="802">
        <f t="shared" si="48"/>
        <v>0</v>
      </c>
    </row>
    <row r="151" spans="1:17" s="524" customFormat="1" ht="18.75" customHeight="1">
      <c r="A151" s="810" t="s">
        <v>298</v>
      </c>
      <c r="B151" s="1135" t="s">
        <v>299</v>
      </c>
      <c r="C151" s="1115">
        <f>+'Pasivo a Cancelar y Deuda'!C18</f>
        <v>0</v>
      </c>
      <c r="D151" s="1115">
        <f>+'Pasivo a Cancelar y Deuda'!D18</f>
        <v>0</v>
      </c>
      <c r="E151" s="1115">
        <f>+'Pasivo a Cancelar y Deuda'!E18</f>
        <v>0</v>
      </c>
      <c r="F151" s="1115">
        <v>1500</v>
      </c>
      <c r="G151" s="1115">
        <f>+F151*1.04</f>
        <v>1560</v>
      </c>
      <c r="H151" s="1115">
        <f t="shared" ref="H151:Q151" si="49">+G151*1.04</f>
        <v>1622.4</v>
      </c>
      <c r="I151" s="1115">
        <f t="shared" si="49"/>
        <v>1687.296</v>
      </c>
      <c r="J151" s="1115">
        <f t="shared" si="49"/>
        <v>1754.7878400000002</v>
      </c>
      <c r="K151" s="1115">
        <f t="shared" si="49"/>
        <v>1824.9793536000002</v>
      </c>
      <c r="L151" s="1115">
        <f t="shared" si="49"/>
        <v>1897.9785277440003</v>
      </c>
      <c r="M151" s="1115">
        <f t="shared" si="49"/>
        <v>1973.8976688537605</v>
      </c>
      <c r="N151" s="1115">
        <f t="shared" si="49"/>
        <v>2052.8535756079109</v>
      </c>
      <c r="O151" s="1115">
        <f t="shared" si="49"/>
        <v>2134.9677186322274</v>
      </c>
      <c r="P151" s="1115">
        <f t="shared" si="49"/>
        <v>2220.3664273775166</v>
      </c>
      <c r="Q151" s="802">
        <f t="shared" si="49"/>
        <v>2309.1810844726174</v>
      </c>
    </row>
    <row r="152" spans="1:17" s="524" customFormat="1" ht="18.75" customHeight="1">
      <c r="A152" s="810" t="s">
        <v>300</v>
      </c>
      <c r="B152" s="1135" t="s">
        <v>301</v>
      </c>
      <c r="C152" s="1115">
        <f>+'Pasivo a Cancelar y Deuda'!C19</f>
        <v>0</v>
      </c>
      <c r="D152" s="1115">
        <f>+'Pasivo a Cancelar y Deuda'!D19</f>
        <v>0</v>
      </c>
      <c r="E152" s="1115">
        <f>+'Pasivo a Cancelar y Deuda'!E19</f>
        <v>0</v>
      </c>
      <c r="F152" s="1115">
        <f>+'Pasivo a Cancelar y Deuda'!F19</f>
        <v>0</v>
      </c>
      <c r="G152" s="1115">
        <f>+'Pasivo a Cancelar y Deuda'!G19</f>
        <v>0</v>
      </c>
      <c r="H152" s="1115">
        <f>+'Pasivo a Cancelar y Deuda'!H19</f>
        <v>0</v>
      </c>
      <c r="I152" s="1115">
        <f>+'Pasivo a Cancelar y Deuda'!I19</f>
        <v>0</v>
      </c>
      <c r="J152" s="1115">
        <f>+'Pasivo a Cancelar y Deuda'!J19</f>
        <v>0</v>
      </c>
      <c r="K152" s="1115">
        <f>+'Pasivo a Cancelar y Deuda'!K19</f>
        <v>0</v>
      </c>
      <c r="L152" s="1115">
        <f>+'Pasivo a Cancelar y Deuda'!L19</f>
        <v>0</v>
      </c>
      <c r="M152" s="1115">
        <f>+'Pasivo a Cancelar y Deuda'!M19</f>
        <v>0</v>
      </c>
      <c r="N152" s="1115">
        <f>+'Pasivo a Cancelar y Deuda'!N19</f>
        <v>0</v>
      </c>
      <c r="O152" s="1115">
        <f>+'Pasivo a Cancelar y Deuda'!O19</f>
        <v>0</v>
      </c>
      <c r="P152" s="1115">
        <f>+'Pasivo a Cancelar y Deuda'!P19</f>
        <v>0</v>
      </c>
      <c r="Q152" s="802">
        <f>+'Pasivo a Cancelar y Deuda'!Q19</f>
        <v>0</v>
      </c>
    </row>
    <row r="153" spans="1:17" s="524" customFormat="1" ht="15" hidden="1" customHeight="1">
      <c r="A153" s="810" t="s">
        <v>302</v>
      </c>
      <c r="B153" s="1135" t="s">
        <v>285</v>
      </c>
      <c r="C153" s="1121">
        <f>+'Pasivo a Cancelar y Deuda'!C20</f>
        <v>0</v>
      </c>
      <c r="D153" s="1121">
        <f>+'Pasivo a Cancelar y Deuda'!D20</f>
        <v>0</v>
      </c>
      <c r="E153" s="1121">
        <f>+'Pasivo a Cancelar y Deuda'!E20</f>
        <v>0</v>
      </c>
      <c r="F153" s="1121">
        <f>+'Pasivo a Cancelar y Deuda'!F20</f>
        <v>0</v>
      </c>
      <c r="G153" s="1121">
        <f>+'Pasivo a Cancelar y Deuda'!G20</f>
        <v>0</v>
      </c>
      <c r="H153" s="1121">
        <f>+'Pasivo a Cancelar y Deuda'!H20</f>
        <v>0</v>
      </c>
      <c r="I153" s="1121">
        <f>+'Pasivo a Cancelar y Deuda'!I20</f>
        <v>0</v>
      </c>
      <c r="J153" s="1121">
        <f>+'Pasivo a Cancelar y Deuda'!J20</f>
        <v>0</v>
      </c>
      <c r="K153" s="1121">
        <f>+'Pasivo a Cancelar y Deuda'!K20</f>
        <v>0</v>
      </c>
      <c r="L153" s="1121">
        <f>+'Pasivo a Cancelar y Deuda'!L20</f>
        <v>0</v>
      </c>
      <c r="M153" s="1121">
        <f>+'Pasivo a Cancelar y Deuda'!M20</f>
        <v>0</v>
      </c>
      <c r="N153" s="1121">
        <f>+'Pasivo a Cancelar y Deuda'!N20</f>
        <v>0</v>
      </c>
      <c r="O153" s="1121">
        <f>+'Pasivo a Cancelar y Deuda'!O20</f>
        <v>0</v>
      </c>
      <c r="P153" s="1121">
        <f>+'Pasivo a Cancelar y Deuda'!P20</f>
        <v>0</v>
      </c>
      <c r="Q153" s="812">
        <f>+'Pasivo a Cancelar y Deuda'!Q20</f>
        <v>0</v>
      </c>
    </row>
    <row r="154" spans="1:17" s="524" customFormat="1" ht="15" hidden="1" customHeight="1">
      <c r="A154" s="810" t="s">
        <v>303</v>
      </c>
      <c r="B154" s="1135" t="s">
        <v>287</v>
      </c>
      <c r="C154" s="1121">
        <f>+'Pasivo a Cancelar y Deuda'!C21</f>
        <v>0</v>
      </c>
      <c r="D154" s="1121">
        <f>+'Pasivo a Cancelar y Deuda'!D21</f>
        <v>0</v>
      </c>
      <c r="E154" s="1121">
        <f>+'Pasivo a Cancelar y Deuda'!E21</f>
        <v>0</v>
      </c>
      <c r="F154" s="1121">
        <f>+'Pasivo a Cancelar y Deuda'!F21</f>
        <v>0</v>
      </c>
      <c r="G154" s="1121">
        <f>+'Pasivo a Cancelar y Deuda'!G21</f>
        <v>0</v>
      </c>
      <c r="H154" s="1121">
        <f>+'Pasivo a Cancelar y Deuda'!H21</f>
        <v>0</v>
      </c>
      <c r="I154" s="1121">
        <f>+'Pasivo a Cancelar y Deuda'!I21</f>
        <v>0</v>
      </c>
      <c r="J154" s="1121">
        <f>+'Pasivo a Cancelar y Deuda'!J21</f>
        <v>0</v>
      </c>
      <c r="K154" s="1121">
        <f>+'Pasivo a Cancelar y Deuda'!K21</f>
        <v>0</v>
      </c>
      <c r="L154" s="1121">
        <f>+'Pasivo a Cancelar y Deuda'!L21</f>
        <v>0</v>
      </c>
      <c r="M154" s="1121">
        <f>+'Pasivo a Cancelar y Deuda'!M21</f>
        <v>0</v>
      </c>
      <c r="N154" s="1121">
        <f>+'Pasivo a Cancelar y Deuda'!N21</f>
        <v>0</v>
      </c>
      <c r="O154" s="1121">
        <f>+'Pasivo a Cancelar y Deuda'!O21</f>
        <v>0</v>
      </c>
      <c r="P154" s="1121">
        <f>+'Pasivo a Cancelar y Deuda'!P21</f>
        <v>0</v>
      </c>
      <c r="Q154" s="812">
        <f>+'Pasivo a Cancelar y Deuda'!Q21</f>
        <v>0</v>
      </c>
    </row>
    <row r="155" spans="1:17" s="524" customFormat="1" ht="15" hidden="1" customHeight="1">
      <c r="A155" s="810" t="s">
        <v>304</v>
      </c>
      <c r="B155" s="1135" t="s">
        <v>289</v>
      </c>
      <c r="C155" s="1121">
        <f>+'Pasivo a Cancelar y Deuda'!C22</f>
        <v>0</v>
      </c>
      <c r="D155" s="1121">
        <f>+'Pasivo a Cancelar y Deuda'!D22</f>
        <v>0</v>
      </c>
      <c r="E155" s="1121">
        <f>+'Pasivo a Cancelar y Deuda'!E22</f>
        <v>0</v>
      </c>
      <c r="F155" s="1121">
        <f>+'Pasivo a Cancelar y Deuda'!F22</f>
        <v>0</v>
      </c>
      <c r="G155" s="1121">
        <f>+'Pasivo a Cancelar y Deuda'!G22</f>
        <v>0</v>
      </c>
      <c r="H155" s="1121">
        <f>+'Pasivo a Cancelar y Deuda'!H22</f>
        <v>0</v>
      </c>
      <c r="I155" s="1121">
        <f>+'Pasivo a Cancelar y Deuda'!I22</f>
        <v>0</v>
      </c>
      <c r="J155" s="1121">
        <f>+'Pasivo a Cancelar y Deuda'!J22</f>
        <v>0</v>
      </c>
      <c r="K155" s="1121">
        <f>+'Pasivo a Cancelar y Deuda'!K22</f>
        <v>0</v>
      </c>
      <c r="L155" s="1121">
        <f>+'Pasivo a Cancelar y Deuda'!L22</f>
        <v>0</v>
      </c>
      <c r="M155" s="1121">
        <f>+'Pasivo a Cancelar y Deuda'!M22</f>
        <v>0</v>
      </c>
      <c r="N155" s="1121">
        <f>+'Pasivo a Cancelar y Deuda'!N22</f>
        <v>0</v>
      </c>
      <c r="O155" s="1121">
        <f>+'Pasivo a Cancelar y Deuda'!O22</f>
        <v>0</v>
      </c>
      <c r="P155" s="1121">
        <f>+'Pasivo a Cancelar y Deuda'!P22</f>
        <v>0</v>
      </c>
      <c r="Q155" s="812">
        <f>+'Pasivo a Cancelar y Deuda'!Q22</f>
        <v>0</v>
      </c>
    </row>
    <row r="156" spans="1:17" s="524" customFormat="1" ht="24.75" customHeight="1" thickBot="1">
      <c r="A156" s="813" t="s">
        <v>517</v>
      </c>
      <c r="B156" s="1136" t="s">
        <v>518</v>
      </c>
      <c r="C156" s="1116" t="e">
        <f>+C144-C147</f>
        <v>#REF!</v>
      </c>
      <c r="D156" s="1116" t="e">
        <f>+D144-D147</f>
        <v>#REF!</v>
      </c>
      <c r="E156" s="1116" t="e">
        <f t="shared" ref="E156:Q156" si="50">+E144-E147</f>
        <v>#REF!</v>
      </c>
      <c r="F156" s="1116" t="e">
        <f t="shared" si="50"/>
        <v>#REF!</v>
      </c>
      <c r="G156" s="1116" t="e">
        <f t="shared" si="50"/>
        <v>#REF!</v>
      </c>
      <c r="H156" s="1116" t="e">
        <f t="shared" si="50"/>
        <v>#REF!</v>
      </c>
      <c r="I156" s="1116" t="e">
        <f t="shared" si="50"/>
        <v>#REF!</v>
      </c>
      <c r="J156" s="1116" t="e">
        <f t="shared" si="50"/>
        <v>#REF!</v>
      </c>
      <c r="K156" s="1116" t="e">
        <f t="shared" si="50"/>
        <v>#REF!</v>
      </c>
      <c r="L156" s="1116" t="e">
        <f t="shared" si="50"/>
        <v>#REF!</v>
      </c>
      <c r="M156" s="1116" t="e">
        <f t="shared" si="50"/>
        <v>#REF!</v>
      </c>
      <c r="N156" s="1116" t="e">
        <f t="shared" si="50"/>
        <v>#REF!</v>
      </c>
      <c r="O156" s="1116" t="e">
        <f t="shared" si="50"/>
        <v>#REF!</v>
      </c>
      <c r="P156" s="1116" t="e">
        <f t="shared" si="50"/>
        <v>#REF!</v>
      </c>
      <c r="Q156" s="814" t="e">
        <f t="shared" si="50"/>
        <v>#REF!</v>
      </c>
    </row>
    <row r="157" spans="1:17" s="524" customFormat="1" ht="18.75" customHeight="1">
      <c r="A157" s="815" t="s">
        <v>519</v>
      </c>
      <c r="B157" s="1133" t="s">
        <v>520</v>
      </c>
      <c r="C157" s="1117"/>
      <c r="D157" s="1117"/>
      <c r="E157" s="1117"/>
      <c r="F157" s="1117"/>
      <c r="G157" s="1117"/>
      <c r="H157" s="1117"/>
      <c r="I157" s="1117"/>
      <c r="J157" s="1117"/>
      <c r="K157" s="1117"/>
      <c r="L157" s="1117"/>
      <c r="M157" s="1117"/>
      <c r="N157" s="1117"/>
      <c r="O157" s="1117"/>
      <c r="P157" s="1117"/>
      <c r="Q157" s="816"/>
    </row>
    <row r="158" spans="1:17" s="524" customFormat="1" ht="18.75" customHeight="1">
      <c r="A158" s="817" t="s">
        <v>521</v>
      </c>
      <c r="B158" s="1140" t="s">
        <v>388</v>
      </c>
      <c r="C158" s="1114" t="e">
        <f>+C159</f>
        <v>#REF!</v>
      </c>
      <c r="D158" s="1114" t="e">
        <f>+D159</f>
        <v>#REF!</v>
      </c>
      <c r="E158" s="1114" t="e">
        <f t="shared" ref="E158:Q158" si="51">+E159</f>
        <v>#REF!</v>
      </c>
      <c r="F158" s="1114" t="e">
        <f t="shared" si="51"/>
        <v>#REF!</v>
      </c>
      <c r="G158" s="1114" t="e">
        <f t="shared" si="51"/>
        <v>#REF!</v>
      </c>
      <c r="H158" s="1114" t="e">
        <f t="shared" si="51"/>
        <v>#REF!</v>
      </c>
      <c r="I158" s="1114" t="e">
        <f t="shared" si="51"/>
        <v>#REF!</v>
      </c>
      <c r="J158" s="1114" t="e">
        <f t="shared" si="51"/>
        <v>#REF!</v>
      </c>
      <c r="K158" s="1114" t="e">
        <f t="shared" si="51"/>
        <v>#REF!</v>
      </c>
      <c r="L158" s="1114" t="e">
        <f t="shared" si="51"/>
        <v>#REF!</v>
      </c>
      <c r="M158" s="1114" t="e">
        <f t="shared" si="51"/>
        <v>#REF!</v>
      </c>
      <c r="N158" s="1114" t="e">
        <f t="shared" si="51"/>
        <v>#REF!</v>
      </c>
      <c r="O158" s="1114" t="e">
        <f t="shared" si="51"/>
        <v>#REF!</v>
      </c>
      <c r="P158" s="1114" t="e">
        <f t="shared" si="51"/>
        <v>#REF!</v>
      </c>
      <c r="Q158" s="818" t="e">
        <f t="shared" si="51"/>
        <v>#REF!</v>
      </c>
    </row>
    <row r="159" spans="1:17" s="524" customFormat="1" ht="18.75" customHeight="1">
      <c r="A159" s="819" t="s">
        <v>517</v>
      </c>
      <c r="B159" s="1135" t="s">
        <v>522</v>
      </c>
      <c r="C159" s="1115" t="e">
        <f>+C156</f>
        <v>#REF!</v>
      </c>
      <c r="D159" s="1115" t="e">
        <f>+D156</f>
        <v>#REF!</v>
      </c>
      <c r="E159" s="1115" t="e">
        <f t="shared" ref="E159:Q159" si="52">+E156</f>
        <v>#REF!</v>
      </c>
      <c r="F159" s="1115" t="e">
        <f t="shared" si="52"/>
        <v>#REF!</v>
      </c>
      <c r="G159" s="1115" t="e">
        <f t="shared" si="52"/>
        <v>#REF!</v>
      </c>
      <c r="H159" s="1115" t="e">
        <f t="shared" si="52"/>
        <v>#REF!</v>
      </c>
      <c r="I159" s="1115" t="e">
        <f t="shared" si="52"/>
        <v>#REF!</v>
      </c>
      <c r="J159" s="1115" t="e">
        <f t="shared" si="52"/>
        <v>#REF!</v>
      </c>
      <c r="K159" s="1115" t="e">
        <f t="shared" si="52"/>
        <v>#REF!</v>
      </c>
      <c r="L159" s="1115" t="e">
        <f t="shared" si="52"/>
        <v>#REF!</v>
      </c>
      <c r="M159" s="1115" t="e">
        <f t="shared" si="52"/>
        <v>#REF!</v>
      </c>
      <c r="N159" s="1115" t="e">
        <f t="shared" si="52"/>
        <v>#REF!</v>
      </c>
      <c r="O159" s="1115" t="e">
        <f t="shared" si="52"/>
        <v>#REF!</v>
      </c>
      <c r="P159" s="1115" t="e">
        <f t="shared" si="52"/>
        <v>#REF!</v>
      </c>
      <c r="Q159" s="820" t="e">
        <f t="shared" si="52"/>
        <v>#REF!</v>
      </c>
    </row>
    <row r="160" spans="1:17" s="524" customFormat="1" ht="18.75" customHeight="1">
      <c r="A160" s="821" t="s">
        <v>3</v>
      </c>
      <c r="B160" s="1123" t="s">
        <v>523</v>
      </c>
      <c r="C160" s="1114" t="e">
        <f>+'Gastos Proyecciones'!C182</f>
        <v>#REF!</v>
      </c>
      <c r="D160" s="1114" t="e">
        <f>+'Gastos Proyecciones'!D182</f>
        <v>#REF!</v>
      </c>
      <c r="E160" s="1114" t="e">
        <f>+'Gastos Proyecciones'!E182</f>
        <v>#REF!</v>
      </c>
      <c r="F160" s="1114" t="e">
        <f>+'Gastos Proyecciones'!F182</f>
        <v>#REF!</v>
      </c>
      <c r="G160" s="1114" t="e">
        <f>+'Gastos Proyecciones'!G182</f>
        <v>#REF!</v>
      </c>
      <c r="H160" s="1114">
        <f>+'Gastos Proyecciones'!H182</f>
        <v>211000</v>
      </c>
      <c r="I160" s="1114">
        <f>+'Gastos Proyecciones'!I182</f>
        <v>201000</v>
      </c>
      <c r="J160" s="1114">
        <f>+'Gastos Proyecciones'!J182</f>
        <v>257000</v>
      </c>
      <c r="K160" s="1114">
        <f>+'Gastos Proyecciones'!K182</f>
        <v>84000</v>
      </c>
      <c r="L160" s="1114">
        <f>+'Gastos Proyecciones'!L182</f>
        <v>314000</v>
      </c>
      <c r="M160" s="1114">
        <f>+'Gastos Proyecciones'!M182</f>
        <v>75000</v>
      </c>
      <c r="N160" s="1114">
        <f>+'Gastos Proyecciones'!N182</f>
        <v>104000</v>
      </c>
      <c r="O160" s="1114">
        <f>+'Gastos Proyecciones'!O182</f>
        <v>53000</v>
      </c>
      <c r="P160" s="1114">
        <f>+'Gastos Proyecciones'!P182</f>
        <v>0</v>
      </c>
      <c r="Q160" s="818" t="e">
        <f>+'Gastos Proyecciones'!#REF!</f>
        <v>#REF!</v>
      </c>
    </row>
    <row r="161" spans="1:17" s="524" customFormat="1" ht="18.75" customHeight="1" thickBot="1">
      <c r="A161" s="670" t="s">
        <v>524</v>
      </c>
      <c r="B161" s="1136" t="s">
        <v>525</v>
      </c>
      <c r="C161" s="1116" t="e">
        <f>+C158-C160</f>
        <v>#REF!</v>
      </c>
      <c r="D161" s="1116" t="e">
        <f t="shared" ref="D161:Q161" si="53">+D158-D160</f>
        <v>#REF!</v>
      </c>
      <c r="E161" s="1116" t="e">
        <f t="shared" si="53"/>
        <v>#REF!</v>
      </c>
      <c r="F161" s="1116" t="e">
        <f t="shared" si="53"/>
        <v>#REF!</v>
      </c>
      <c r="G161" s="1116" t="e">
        <f t="shared" si="53"/>
        <v>#REF!</v>
      </c>
      <c r="H161" s="1116" t="e">
        <f t="shared" si="53"/>
        <v>#REF!</v>
      </c>
      <c r="I161" s="1116" t="e">
        <f t="shared" si="53"/>
        <v>#REF!</v>
      </c>
      <c r="J161" s="1116" t="e">
        <f t="shared" si="53"/>
        <v>#REF!</v>
      </c>
      <c r="K161" s="1116" t="e">
        <f t="shared" si="53"/>
        <v>#REF!</v>
      </c>
      <c r="L161" s="1116" t="e">
        <f t="shared" si="53"/>
        <v>#REF!</v>
      </c>
      <c r="M161" s="1116" t="e">
        <f t="shared" si="53"/>
        <v>#REF!</v>
      </c>
      <c r="N161" s="1116" t="e">
        <f t="shared" si="53"/>
        <v>#REF!</v>
      </c>
      <c r="O161" s="1116" t="e">
        <f t="shared" si="53"/>
        <v>#REF!</v>
      </c>
      <c r="P161" s="1116" t="e">
        <f t="shared" si="53"/>
        <v>#REF!</v>
      </c>
      <c r="Q161" s="822" t="e">
        <f t="shared" si="53"/>
        <v>#REF!</v>
      </c>
    </row>
    <row r="162" spans="1:17" s="524" customFormat="1" ht="18.75" customHeight="1" thickBot="1">
      <c r="A162" s="675" t="s">
        <v>526</v>
      </c>
      <c r="B162" s="1136" t="s">
        <v>543</v>
      </c>
      <c r="C162" s="1116" t="e">
        <f t="shared" ref="C162:Q162" si="54">+C130+C161</f>
        <v>#REF!</v>
      </c>
      <c r="D162" s="1116" t="e">
        <f t="shared" si="54"/>
        <v>#REF!</v>
      </c>
      <c r="E162" s="1116" t="e">
        <f t="shared" si="54"/>
        <v>#REF!</v>
      </c>
      <c r="F162" s="1116" t="e">
        <f t="shared" si="54"/>
        <v>#REF!</v>
      </c>
      <c r="G162" s="1116" t="e">
        <f t="shared" si="54"/>
        <v>#REF!</v>
      </c>
      <c r="H162" s="1116" t="e">
        <f t="shared" si="54"/>
        <v>#REF!</v>
      </c>
      <c r="I162" s="1116" t="e">
        <f t="shared" si="54"/>
        <v>#REF!</v>
      </c>
      <c r="J162" s="1116" t="e">
        <f t="shared" si="54"/>
        <v>#REF!</v>
      </c>
      <c r="K162" s="1116" t="e">
        <f t="shared" si="54"/>
        <v>#REF!</v>
      </c>
      <c r="L162" s="1116" t="e">
        <f t="shared" si="54"/>
        <v>#REF!</v>
      </c>
      <c r="M162" s="1116" t="e">
        <f t="shared" si="54"/>
        <v>#REF!</v>
      </c>
      <c r="N162" s="1116" t="e">
        <f t="shared" si="54"/>
        <v>#REF!</v>
      </c>
      <c r="O162" s="1116" t="e">
        <f t="shared" si="54"/>
        <v>#REF!</v>
      </c>
      <c r="P162" s="1116" t="e">
        <f t="shared" si="54"/>
        <v>#REF!</v>
      </c>
      <c r="Q162" s="797" t="e">
        <f t="shared" si="54"/>
        <v>#REF!</v>
      </c>
    </row>
    <row r="163" spans="1:17" s="524" customFormat="1" ht="18.75" customHeight="1">
      <c r="B163" s="1141"/>
      <c r="C163" s="683"/>
      <c r="D163" s="683"/>
      <c r="E163" s="684"/>
      <c r="F163" s="684"/>
      <c r="G163" s="684"/>
      <c r="H163" s="684"/>
      <c r="I163" s="684"/>
      <c r="J163" s="684"/>
      <c r="K163" s="684"/>
      <c r="L163" s="684"/>
      <c r="M163" s="684"/>
      <c r="N163" s="684"/>
      <c r="O163" s="684"/>
      <c r="P163" s="684"/>
      <c r="Q163" s="684"/>
    </row>
    <row r="164" spans="1:17">
      <c r="C164" s="685"/>
      <c r="D164" s="685"/>
      <c r="E164" s="480"/>
      <c r="F164" s="480"/>
      <c r="G164" s="480"/>
      <c r="H164" s="480"/>
      <c r="I164" s="480"/>
      <c r="J164" s="480"/>
      <c r="K164" s="480"/>
      <c r="L164" s="480"/>
      <c r="M164" s="480"/>
      <c r="N164" s="480"/>
      <c r="O164" s="480"/>
      <c r="P164" s="480"/>
      <c r="Q164" s="480"/>
    </row>
    <row r="165" spans="1:17">
      <c r="C165" s="685"/>
      <c r="D165" s="685"/>
      <c r="E165" s="480"/>
      <c r="F165" s="480"/>
      <c r="G165" s="480"/>
      <c r="H165" s="480"/>
      <c r="I165" s="480"/>
      <c r="J165" s="480"/>
      <c r="K165" s="480"/>
      <c r="L165" s="480"/>
      <c r="M165" s="480"/>
      <c r="N165" s="480"/>
      <c r="O165" s="480"/>
      <c r="P165" s="480"/>
      <c r="Q165" s="480"/>
    </row>
    <row r="166" spans="1:17">
      <c r="C166" s="685"/>
      <c r="D166" s="685"/>
      <c r="E166" s="480"/>
      <c r="F166" s="480"/>
      <c r="G166" s="480"/>
      <c r="H166" s="480"/>
      <c r="I166" s="480"/>
      <c r="J166" s="480"/>
      <c r="K166" s="480"/>
      <c r="L166" s="480"/>
      <c r="M166" s="480"/>
      <c r="N166" s="480"/>
      <c r="O166" s="480"/>
      <c r="P166" s="480"/>
      <c r="Q166" s="480"/>
    </row>
    <row r="167" spans="1:17">
      <c r="C167" s="685"/>
      <c r="D167" s="685"/>
      <c r="E167" s="480"/>
      <c r="F167" s="480"/>
      <c r="G167" s="480"/>
      <c r="H167" s="480"/>
      <c r="I167" s="480"/>
      <c r="J167" s="480"/>
      <c r="K167" s="480"/>
      <c r="L167" s="480"/>
      <c r="M167" s="480"/>
      <c r="N167" s="480"/>
      <c r="O167" s="480"/>
      <c r="P167" s="480"/>
      <c r="Q167" s="480"/>
    </row>
    <row r="168" spans="1:17">
      <c r="C168" s="685"/>
      <c r="D168" s="685"/>
      <c r="E168" s="480"/>
      <c r="F168" s="480"/>
      <c r="G168" s="480"/>
      <c r="H168" s="480"/>
      <c r="I168" s="480"/>
      <c r="J168" s="480"/>
      <c r="K168" s="480"/>
      <c r="L168" s="480"/>
      <c r="M168" s="480"/>
      <c r="N168" s="480"/>
      <c r="O168" s="480"/>
      <c r="P168" s="480"/>
      <c r="Q168" s="480"/>
    </row>
    <row r="169" spans="1:17">
      <c r="C169" s="685"/>
      <c r="D169" s="685"/>
      <c r="E169" s="480"/>
      <c r="F169" s="480"/>
      <c r="G169" s="480"/>
      <c r="H169" s="480"/>
      <c r="I169" s="480"/>
      <c r="J169" s="480"/>
      <c r="K169" s="480"/>
      <c r="L169" s="480"/>
      <c r="M169" s="480"/>
      <c r="N169" s="480"/>
      <c r="O169" s="480"/>
      <c r="P169" s="480"/>
      <c r="Q169" s="480"/>
    </row>
    <row r="170" spans="1:17">
      <c r="C170" s="685"/>
      <c r="D170" s="685"/>
      <c r="E170" s="480"/>
      <c r="F170" s="480"/>
      <c r="G170" s="480"/>
      <c r="H170" s="480"/>
      <c r="I170" s="480"/>
      <c r="J170" s="480"/>
      <c r="K170" s="480"/>
      <c r="L170" s="480"/>
      <c r="M170" s="480"/>
      <c r="N170" s="480"/>
      <c r="O170" s="480"/>
      <c r="P170" s="480"/>
      <c r="Q170" s="480"/>
    </row>
    <row r="171" spans="1:17">
      <c r="C171" s="685"/>
      <c r="D171" s="685"/>
      <c r="E171" s="480"/>
      <c r="F171" s="480"/>
      <c r="G171" s="480"/>
      <c r="H171" s="480"/>
      <c r="I171" s="480"/>
      <c r="J171" s="480"/>
      <c r="K171" s="480"/>
      <c r="L171" s="480"/>
      <c r="M171" s="480"/>
      <c r="N171" s="480"/>
      <c r="O171" s="480"/>
      <c r="P171" s="480"/>
      <c r="Q171" s="480"/>
    </row>
    <row r="172" spans="1:17">
      <c r="C172" s="685"/>
      <c r="D172" s="685"/>
      <c r="E172" s="480"/>
      <c r="F172" s="480"/>
      <c r="G172" s="480"/>
      <c r="H172" s="480"/>
      <c r="I172" s="480"/>
      <c r="J172" s="480"/>
      <c r="K172" s="480"/>
      <c r="L172" s="480"/>
      <c r="M172" s="480"/>
      <c r="N172" s="480"/>
      <c r="O172" s="480"/>
      <c r="P172" s="480"/>
      <c r="Q172" s="480"/>
    </row>
    <row r="173" spans="1:17">
      <c r="C173" s="685"/>
      <c r="D173" s="685"/>
      <c r="E173" s="480"/>
      <c r="F173" s="480"/>
      <c r="G173" s="480"/>
      <c r="H173" s="480"/>
      <c r="I173" s="480"/>
      <c r="J173" s="480"/>
      <c r="K173" s="480"/>
      <c r="L173" s="480"/>
      <c r="M173" s="480"/>
      <c r="N173" s="480"/>
      <c r="O173" s="480"/>
      <c r="P173" s="480"/>
      <c r="Q173" s="480"/>
    </row>
    <row r="174" spans="1:17">
      <c r="C174" s="685"/>
      <c r="D174" s="685"/>
      <c r="E174" s="480"/>
      <c r="F174" s="480"/>
      <c r="G174" s="480"/>
      <c r="H174" s="480"/>
      <c r="I174" s="480"/>
      <c r="J174" s="480"/>
      <c r="K174" s="480"/>
      <c r="L174" s="480"/>
      <c r="M174" s="480"/>
      <c r="N174" s="480"/>
      <c r="O174" s="480"/>
      <c r="P174" s="480"/>
      <c r="Q174" s="480"/>
    </row>
    <row r="175" spans="1:17">
      <c r="C175" s="685"/>
      <c r="D175" s="685"/>
      <c r="E175" s="480"/>
      <c r="F175" s="480"/>
      <c r="G175" s="480"/>
      <c r="H175" s="480"/>
      <c r="I175" s="480"/>
      <c r="J175" s="480"/>
      <c r="K175" s="480"/>
      <c r="L175" s="480"/>
      <c r="M175" s="480"/>
      <c r="N175" s="480"/>
      <c r="O175" s="480"/>
      <c r="P175" s="480"/>
      <c r="Q175" s="480"/>
    </row>
    <row r="176" spans="1:17">
      <c r="C176" s="685"/>
      <c r="D176" s="685"/>
      <c r="E176" s="480"/>
      <c r="F176" s="480"/>
      <c r="G176" s="480"/>
      <c r="H176" s="480"/>
      <c r="I176" s="480"/>
      <c r="J176" s="480"/>
      <c r="K176" s="480"/>
      <c r="L176" s="480"/>
      <c r="M176" s="480"/>
      <c r="N176" s="480"/>
      <c r="O176" s="480"/>
      <c r="P176" s="480"/>
      <c r="Q176" s="480"/>
    </row>
    <row r="177" spans="3:17">
      <c r="C177" s="685"/>
      <c r="D177" s="685"/>
      <c r="E177" s="480"/>
      <c r="F177" s="480"/>
      <c r="G177" s="480"/>
      <c r="H177" s="480"/>
      <c r="I177" s="480"/>
      <c r="J177" s="480"/>
      <c r="K177" s="480"/>
      <c r="L177" s="480"/>
      <c r="M177" s="480"/>
      <c r="N177" s="480"/>
      <c r="O177" s="480"/>
      <c r="P177" s="480"/>
      <c r="Q177" s="480"/>
    </row>
    <row r="178" spans="3:17">
      <c r="C178" s="685"/>
      <c r="D178" s="685"/>
      <c r="E178" s="480"/>
      <c r="F178" s="480"/>
      <c r="G178" s="480"/>
      <c r="H178" s="480"/>
      <c r="I178" s="480"/>
      <c r="J178" s="480"/>
      <c r="K178" s="480"/>
      <c r="L178" s="480"/>
      <c r="M178" s="480"/>
      <c r="N178" s="480"/>
      <c r="O178" s="480"/>
      <c r="P178" s="480"/>
      <c r="Q178" s="480"/>
    </row>
    <row r="179" spans="3:17">
      <c r="C179" s="685"/>
      <c r="D179" s="685"/>
      <c r="E179" s="480"/>
      <c r="F179" s="480"/>
      <c r="G179" s="480"/>
      <c r="H179" s="480"/>
      <c r="I179" s="480"/>
      <c r="J179" s="480"/>
      <c r="K179" s="480"/>
      <c r="L179" s="480"/>
      <c r="M179" s="480"/>
      <c r="N179" s="480"/>
      <c r="O179" s="480"/>
      <c r="P179" s="480"/>
      <c r="Q179" s="480"/>
    </row>
    <row r="180" spans="3:17">
      <c r="C180" s="685"/>
      <c r="D180" s="685"/>
      <c r="E180" s="480"/>
      <c r="F180" s="480"/>
      <c r="G180" s="480"/>
      <c r="H180" s="480"/>
      <c r="I180" s="480"/>
      <c r="J180" s="480"/>
      <c r="K180" s="480"/>
      <c r="L180" s="480"/>
      <c r="M180" s="480"/>
      <c r="N180" s="480"/>
      <c r="O180" s="480"/>
      <c r="P180" s="480"/>
      <c r="Q180" s="480"/>
    </row>
    <row r="181" spans="3:17">
      <c r="C181" s="685"/>
      <c r="D181" s="685"/>
      <c r="E181" s="480"/>
      <c r="F181" s="480"/>
      <c r="G181" s="480"/>
      <c r="H181" s="480"/>
      <c r="I181" s="480"/>
      <c r="J181" s="480"/>
      <c r="K181" s="480"/>
      <c r="L181" s="480"/>
      <c r="M181" s="480"/>
      <c r="N181" s="480"/>
      <c r="O181" s="480"/>
      <c r="P181" s="480"/>
      <c r="Q181" s="480"/>
    </row>
    <row r="182" spans="3:17">
      <c r="C182" s="685"/>
      <c r="D182" s="685"/>
      <c r="E182" s="480"/>
      <c r="F182" s="480"/>
      <c r="G182" s="480"/>
      <c r="H182" s="480"/>
      <c r="I182" s="480"/>
      <c r="J182" s="480"/>
      <c r="K182" s="480"/>
      <c r="L182" s="480"/>
      <c r="M182" s="480"/>
      <c r="N182" s="480"/>
      <c r="O182" s="480"/>
      <c r="P182" s="480"/>
      <c r="Q182" s="480"/>
    </row>
    <row r="183" spans="3:17">
      <c r="C183" s="685"/>
      <c r="D183" s="685"/>
      <c r="E183" s="480"/>
      <c r="F183" s="480"/>
      <c r="G183" s="480"/>
      <c r="H183" s="480"/>
      <c r="I183" s="480"/>
      <c r="J183" s="480"/>
      <c r="K183" s="480"/>
      <c r="L183" s="480"/>
      <c r="M183" s="480"/>
      <c r="N183" s="480"/>
      <c r="O183" s="480"/>
      <c r="P183" s="480"/>
      <c r="Q183" s="480"/>
    </row>
    <row r="184" spans="3:17">
      <c r="C184" s="685"/>
      <c r="D184" s="685"/>
      <c r="E184" s="480"/>
      <c r="F184" s="480"/>
      <c r="G184" s="480"/>
      <c r="H184" s="480"/>
      <c r="I184" s="480"/>
      <c r="J184" s="480"/>
      <c r="K184" s="480"/>
      <c r="L184" s="480"/>
      <c r="M184" s="480"/>
      <c r="N184" s="480"/>
      <c r="O184" s="480"/>
      <c r="P184" s="480"/>
      <c r="Q184" s="480"/>
    </row>
    <row r="185" spans="3:17">
      <c r="C185" s="685"/>
      <c r="D185" s="685"/>
      <c r="E185" s="480"/>
      <c r="F185" s="480"/>
      <c r="G185" s="480"/>
      <c r="H185" s="480"/>
      <c r="I185" s="480"/>
      <c r="J185" s="480"/>
      <c r="K185" s="480"/>
      <c r="L185" s="480"/>
      <c r="M185" s="480"/>
      <c r="N185" s="480"/>
      <c r="O185" s="480"/>
      <c r="P185" s="480"/>
      <c r="Q185" s="480"/>
    </row>
    <row r="186" spans="3:17">
      <c r="C186" s="685"/>
      <c r="D186" s="685"/>
      <c r="E186" s="480"/>
      <c r="F186" s="480"/>
      <c r="G186" s="480"/>
      <c r="H186" s="480"/>
      <c r="I186" s="480"/>
      <c r="J186" s="480"/>
      <c r="K186" s="480"/>
      <c r="L186" s="480"/>
      <c r="M186" s="480"/>
      <c r="N186" s="480"/>
      <c r="O186" s="480"/>
      <c r="P186" s="480"/>
      <c r="Q186" s="480"/>
    </row>
    <row r="187" spans="3:17">
      <c r="C187" s="685"/>
      <c r="D187" s="685"/>
      <c r="E187" s="480"/>
      <c r="F187" s="480"/>
      <c r="G187" s="480"/>
      <c r="H187" s="480"/>
      <c r="I187" s="480"/>
      <c r="J187" s="480"/>
      <c r="K187" s="480"/>
      <c r="L187" s="480"/>
      <c r="M187" s="480"/>
      <c r="N187" s="480"/>
      <c r="O187" s="480"/>
      <c r="P187" s="480"/>
      <c r="Q187" s="480"/>
    </row>
    <row r="188" spans="3:17">
      <c r="C188" s="685"/>
      <c r="D188" s="685"/>
      <c r="E188" s="480"/>
      <c r="F188" s="480"/>
      <c r="G188" s="480"/>
      <c r="H188" s="480"/>
      <c r="I188" s="480"/>
      <c r="J188" s="480"/>
      <c r="K188" s="480"/>
      <c r="L188" s="480"/>
      <c r="M188" s="480"/>
      <c r="N188" s="480"/>
      <c r="O188" s="480"/>
      <c r="P188" s="480"/>
      <c r="Q188" s="480"/>
    </row>
    <row r="189" spans="3:17">
      <c r="C189" s="685"/>
      <c r="D189" s="685"/>
      <c r="E189" s="480"/>
      <c r="F189" s="480"/>
      <c r="G189" s="480"/>
      <c r="H189" s="480"/>
      <c r="I189" s="480"/>
      <c r="J189" s="480"/>
      <c r="K189" s="480"/>
      <c r="L189" s="480"/>
      <c r="M189" s="480"/>
      <c r="N189" s="480"/>
      <c r="O189" s="480"/>
      <c r="P189" s="480"/>
      <c r="Q189" s="480"/>
    </row>
    <row r="190" spans="3:17">
      <c r="C190" s="685"/>
      <c r="D190" s="685"/>
      <c r="E190" s="480"/>
      <c r="F190" s="480"/>
      <c r="G190" s="480"/>
      <c r="H190" s="480"/>
      <c r="I190" s="480"/>
      <c r="J190" s="480"/>
      <c r="K190" s="480"/>
      <c r="L190" s="480"/>
      <c r="M190" s="480"/>
      <c r="N190" s="480"/>
      <c r="O190" s="480"/>
      <c r="P190" s="480"/>
      <c r="Q190" s="480"/>
    </row>
    <row r="191" spans="3:17">
      <c r="C191" s="685"/>
      <c r="D191" s="685"/>
      <c r="E191" s="480"/>
      <c r="F191" s="480"/>
      <c r="G191" s="480"/>
      <c r="H191" s="480"/>
      <c r="I191" s="480"/>
      <c r="J191" s="480"/>
      <c r="K191" s="480"/>
      <c r="L191" s="480"/>
      <c r="M191" s="480"/>
      <c r="N191" s="480"/>
      <c r="O191" s="480"/>
      <c r="P191" s="480"/>
      <c r="Q191" s="480"/>
    </row>
    <row r="192" spans="3:17">
      <c r="C192" s="685"/>
      <c r="D192" s="685"/>
      <c r="E192" s="480"/>
      <c r="F192" s="480"/>
      <c r="G192" s="480"/>
      <c r="H192" s="480"/>
      <c r="I192" s="480"/>
      <c r="J192" s="480"/>
      <c r="K192" s="480"/>
      <c r="L192" s="480"/>
      <c r="M192" s="480"/>
      <c r="N192" s="480"/>
      <c r="O192" s="480"/>
      <c r="P192" s="480"/>
      <c r="Q192" s="480"/>
    </row>
    <row r="193" spans="3:17">
      <c r="C193" s="685"/>
      <c r="D193" s="685"/>
      <c r="E193" s="480"/>
      <c r="F193" s="480"/>
      <c r="G193" s="480"/>
      <c r="H193" s="480"/>
      <c r="I193" s="480"/>
      <c r="J193" s="480"/>
      <c r="K193" s="480"/>
      <c r="L193" s="480"/>
      <c r="M193" s="480"/>
      <c r="N193" s="480"/>
      <c r="O193" s="480"/>
      <c r="P193" s="480"/>
      <c r="Q193" s="480"/>
    </row>
    <row r="194" spans="3:17">
      <c r="C194" s="685"/>
      <c r="D194" s="685"/>
      <c r="E194" s="480"/>
      <c r="F194" s="480"/>
      <c r="G194" s="480"/>
      <c r="H194" s="480"/>
      <c r="I194" s="480"/>
      <c r="J194" s="480"/>
      <c r="K194" s="480"/>
      <c r="L194" s="480"/>
      <c r="M194" s="480"/>
      <c r="N194" s="480"/>
      <c r="O194" s="480"/>
      <c r="P194" s="480"/>
      <c r="Q194" s="480"/>
    </row>
    <row r="195" spans="3:17">
      <c r="C195" s="685"/>
      <c r="D195" s="685"/>
      <c r="E195" s="480"/>
      <c r="F195" s="480"/>
      <c r="G195" s="480"/>
      <c r="H195" s="480"/>
      <c r="I195" s="480"/>
      <c r="J195" s="480"/>
      <c r="K195" s="480"/>
      <c r="L195" s="480"/>
      <c r="M195" s="480"/>
      <c r="N195" s="480"/>
      <c r="O195" s="480"/>
      <c r="P195" s="480"/>
      <c r="Q195" s="480"/>
    </row>
    <row r="196" spans="3:17">
      <c r="C196" s="685"/>
      <c r="D196" s="685"/>
      <c r="E196" s="480"/>
      <c r="F196" s="480"/>
      <c r="G196" s="480"/>
      <c r="H196" s="480"/>
      <c r="I196" s="480"/>
      <c r="J196" s="480"/>
      <c r="K196" s="480"/>
      <c r="L196" s="480"/>
      <c r="M196" s="480"/>
      <c r="N196" s="480"/>
      <c r="O196" s="480"/>
      <c r="P196" s="480"/>
      <c r="Q196" s="480"/>
    </row>
    <row r="197" spans="3:17">
      <c r="C197" s="685"/>
      <c r="D197" s="685"/>
      <c r="E197" s="480"/>
      <c r="F197" s="480"/>
      <c r="G197" s="480"/>
      <c r="H197" s="480"/>
      <c r="I197" s="480"/>
      <c r="J197" s="480"/>
      <c r="K197" s="480"/>
      <c r="L197" s="480"/>
      <c r="M197" s="480"/>
      <c r="N197" s="480"/>
      <c r="O197" s="480"/>
      <c r="P197" s="480"/>
      <c r="Q197" s="480"/>
    </row>
    <row r="198" spans="3:17">
      <c r="C198" s="685"/>
      <c r="D198" s="685"/>
      <c r="E198" s="480"/>
      <c r="F198" s="480"/>
      <c r="G198" s="480"/>
      <c r="H198" s="480"/>
      <c r="I198" s="480"/>
      <c r="J198" s="480"/>
      <c r="K198" s="480"/>
      <c r="L198" s="480"/>
      <c r="M198" s="480"/>
      <c r="N198" s="480"/>
      <c r="O198" s="480"/>
      <c r="P198" s="480"/>
      <c r="Q198" s="480"/>
    </row>
    <row r="199" spans="3:17">
      <c r="C199" s="685"/>
      <c r="D199" s="685"/>
      <c r="E199" s="480"/>
      <c r="F199" s="480"/>
      <c r="G199" s="480"/>
      <c r="H199" s="480"/>
      <c r="I199" s="480"/>
      <c r="J199" s="480"/>
      <c r="K199" s="480"/>
      <c r="L199" s="480"/>
      <c r="M199" s="480"/>
      <c r="N199" s="480"/>
      <c r="O199" s="480"/>
      <c r="P199" s="480"/>
      <c r="Q199" s="480"/>
    </row>
    <row r="200" spans="3:17">
      <c r="C200" s="685"/>
      <c r="D200" s="685"/>
      <c r="E200" s="480"/>
      <c r="F200" s="480"/>
      <c r="G200" s="480"/>
      <c r="H200" s="480"/>
      <c r="I200" s="480"/>
      <c r="J200" s="480"/>
      <c r="K200" s="480"/>
      <c r="L200" s="480"/>
      <c r="M200" s="480"/>
      <c r="N200" s="480"/>
      <c r="O200" s="480"/>
      <c r="P200" s="480"/>
      <c r="Q200" s="480"/>
    </row>
    <row r="201" spans="3:17">
      <c r="C201" s="685"/>
      <c r="D201" s="685"/>
      <c r="E201" s="480"/>
      <c r="F201" s="480"/>
      <c r="G201" s="480"/>
      <c r="H201" s="480"/>
      <c r="I201" s="480"/>
      <c r="J201" s="480"/>
      <c r="K201" s="480"/>
      <c r="L201" s="480"/>
      <c r="M201" s="480"/>
      <c r="N201" s="480"/>
      <c r="O201" s="480"/>
      <c r="P201" s="480"/>
      <c r="Q201" s="480"/>
    </row>
    <row r="202" spans="3:17">
      <c r="C202" s="685"/>
      <c r="D202" s="685"/>
      <c r="E202" s="480"/>
      <c r="F202" s="480"/>
      <c r="G202" s="480"/>
      <c r="H202" s="480"/>
      <c r="I202" s="480"/>
      <c r="J202" s="480"/>
      <c r="K202" s="480"/>
      <c r="L202" s="480"/>
      <c r="M202" s="480"/>
      <c r="N202" s="480"/>
      <c r="O202" s="480"/>
      <c r="P202" s="480"/>
      <c r="Q202" s="480"/>
    </row>
    <row r="203" spans="3:17">
      <c r="C203" s="685"/>
      <c r="D203" s="685"/>
      <c r="E203" s="480"/>
      <c r="F203" s="480"/>
      <c r="G203" s="480"/>
      <c r="H203" s="480"/>
      <c r="I203" s="480"/>
      <c r="J203" s="480"/>
      <c r="K203" s="480"/>
      <c r="L203" s="480"/>
      <c r="M203" s="480"/>
      <c r="N203" s="480"/>
      <c r="O203" s="480"/>
      <c r="P203" s="480"/>
      <c r="Q203" s="480"/>
    </row>
    <row r="204" spans="3:17">
      <c r="C204" s="685"/>
      <c r="D204" s="685"/>
      <c r="E204" s="480"/>
      <c r="F204" s="480"/>
      <c r="G204" s="480"/>
      <c r="H204" s="480"/>
      <c r="I204" s="480"/>
      <c r="J204" s="480"/>
      <c r="K204" s="480"/>
      <c r="L204" s="480"/>
      <c r="M204" s="480"/>
      <c r="N204" s="480"/>
      <c r="O204" s="480"/>
      <c r="P204" s="480"/>
      <c r="Q204" s="480"/>
    </row>
    <row r="205" spans="3:17">
      <c r="C205" s="685"/>
      <c r="D205" s="685"/>
      <c r="E205" s="480"/>
      <c r="F205" s="480"/>
      <c r="G205" s="480"/>
      <c r="H205" s="480"/>
      <c r="I205" s="480"/>
      <c r="J205" s="480"/>
      <c r="K205" s="480"/>
      <c r="L205" s="480"/>
      <c r="M205" s="480"/>
      <c r="N205" s="480"/>
      <c r="O205" s="480"/>
      <c r="P205" s="480"/>
      <c r="Q205" s="480"/>
    </row>
    <row r="206" spans="3:17">
      <c r="C206" s="685"/>
      <c r="D206" s="685"/>
      <c r="E206" s="480"/>
      <c r="F206" s="480"/>
      <c r="G206" s="480"/>
      <c r="H206" s="480"/>
      <c r="I206" s="480"/>
      <c r="J206" s="480"/>
      <c r="K206" s="480"/>
      <c r="L206" s="480"/>
      <c r="M206" s="480"/>
      <c r="N206" s="480"/>
      <c r="O206" s="480"/>
      <c r="P206" s="480"/>
      <c r="Q206" s="480"/>
    </row>
    <row r="207" spans="3:17">
      <c r="C207" s="685"/>
      <c r="D207" s="685"/>
      <c r="E207" s="480"/>
      <c r="F207" s="480"/>
      <c r="G207" s="480"/>
      <c r="H207" s="480"/>
      <c r="I207" s="480"/>
      <c r="J207" s="480"/>
      <c r="K207" s="480"/>
      <c r="L207" s="480"/>
      <c r="M207" s="480"/>
      <c r="N207" s="480"/>
      <c r="O207" s="480"/>
      <c r="P207" s="480"/>
      <c r="Q207" s="480"/>
    </row>
    <row r="208" spans="3:17">
      <c r="C208" s="685"/>
      <c r="D208" s="685"/>
      <c r="E208" s="480"/>
      <c r="F208" s="480"/>
      <c r="G208" s="480"/>
      <c r="H208" s="480"/>
      <c r="I208" s="480"/>
      <c r="J208" s="480"/>
      <c r="K208" s="480"/>
      <c r="L208" s="480"/>
      <c r="M208" s="480"/>
      <c r="N208" s="480"/>
      <c r="O208" s="480"/>
      <c r="P208" s="480"/>
      <c r="Q208" s="480"/>
    </row>
    <row r="209" spans="3:17">
      <c r="C209" s="685"/>
      <c r="D209" s="685"/>
      <c r="E209" s="480"/>
      <c r="F209" s="480"/>
      <c r="G209" s="480"/>
      <c r="H209" s="480"/>
      <c r="I209" s="480"/>
      <c r="J209" s="480"/>
      <c r="K209" s="480"/>
      <c r="L209" s="480"/>
      <c r="M209" s="480"/>
      <c r="N209" s="480"/>
      <c r="O209" s="480"/>
      <c r="P209" s="480"/>
      <c r="Q209" s="480"/>
    </row>
    <row r="210" spans="3:17">
      <c r="C210" s="685"/>
      <c r="D210" s="685"/>
      <c r="E210" s="480"/>
      <c r="F210" s="480"/>
      <c r="G210" s="480"/>
      <c r="H210" s="480"/>
      <c r="I210" s="480"/>
      <c r="J210" s="480"/>
      <c r="K210" s="480"/>
      <c r="L210" s="480"/>
      <c r="M210" s="480"/>
      <c r="N210" s="480"/>
      <c r="O210" s="480"/>
      <c r="P210" s="480"/>
      <c r="Q210" s="480"/>
    </row>
    <row r="211" spans="3:17">
      <c r="C211" s="685"/>
      <c r="D211" s="685"/>
      <c r="E211" s="480"/>
      <c r="F211" s="480"/>
      <c r="G211" s="480"/>
      <c r="H211" s="480"/>
      <c r="I211" s="480"/>
      <c r="J211" s="480"/>
      <c r="K211" s="480"/>
      <c r="L211" s="480"/>
      <c r="M211" s="480"/>
      <c r="N211" s="480"/>
      <c r="O211" s="480"/>
      <c r="P211" s="480"/>
      <c r="Q211" s="480"/>
    </row>
    <row r="212" spans="3:17">
      <c r="C212" s="685"/>
      <c r="D212" s="685"/>
      <c r="E212" s="480"/>
      <c r="F212" s="480"/>
      <c r="G212" s="480"/>
      <c r="H212" s="480"/>
      <c r="I212" s="480"/>
      <c r="J212" s="480"/>
      <c r="K212" s="480"/>
      <c r="L212" s="480"/>
      <c r="M212" s="480"/>
      <c r="N212" s="480"/>
      <c r="O212" s="480"/>
      <c r="P212" s="480"/>
      <c r="Q212" s="480"/>
    </row>
    <row r="213" spans="3:17">
      <c r="C213" s="685"/>
      <c r="D213" s="685"/>
      <c r="E213" s="480"/>
      <c r="F213" s="480"/>
      <c r="G213" s="480"/>
      <c r="H213" s="480"/>
      <c r="I213" s="480"/>
      <c r="J213" s="480"/>
      <c r="K213" s="480"/>
      <c r="L213" s="480"/>
      <c r="M213" s="480"/>
      <c r="N213" s="480"/>
      <c r="O213" s="480"/>
      <c r="P213" s="480"/>
      <c r="Q213" s="480"/>
    </row>
    <row r="214" spans="3:17">
      <c r="C214" s="685"/>
      <c r="D214" s="685"/>
      <c r="E214" s="480"/>
      <c r="F214" s="480"/>
      <c r="G214" s="480"/>
      <c r="H214" s="480"/>
      <c r="I214" s="480"/>
      <c r="J214" s="480"/>
      <c r="K214" s="480"/>
      <c r="L214" s="480"/>
      <c r="M214" s="480"/>
      <c r="N214" s="480"/>
      <c r="O214" s="480"/>
      <c r="P214" s="480"/>
      <c r="Q214" s="480"/>
    </row>
    <row r="215" spans="3:17">
      <c r="C215" s="685"/>
      <c r="D215" s="685"/>
      <c r="E215" s="480"/>
      <c r="F215" s="480"/>
      <c r="G215" s="480"/>
      <c r="H215" s="480"/>
      <c r="I215" s="480"/>
      <c r="J215" s="480"/>
      <c r="K215" s="480"/>
      <c r="L215" s="480"/>
      <c r="M215" s="480"/>
      <c r="N215" s="480"/>
      <c r="O215" s="480"/>
      <c r="P215" s="480"/>
      <c r="Q215" s="480"/>
    </row>
    <row r="216" spans="3:17">
      <c r="C216" s="685"/>
      <c r="D216" s="685"/>
      <c r="E216" s="480"/>
      <c r="F216" s="480"/>
      <c r="G216" s="480"/>
      <c r="H216" s="480"/>
      <c r="I216" s="480"/>
      <c r="J216" s="480"/>
      <c r="K216" s="480"/>
      <c r="L216" s="480"/>
      <c r="M216" s="480"/>
      <c r="N216" s="480"/>
      <c r="O216" s="480"/>
      <c r="P216" s="480"/>
      <c r="Q216" s="480"/>
    </row>
    <row r="217" spans="3:17">
      <c r="C217" s="685"/>
      <c r="D217" s="685"/>
      <c r="E217" s="480"/>
      <c r="F217" s="480"/>
      <c r="G217" s="480"/>
      <c r="H217" s="480"/>
      <c r="I217" s="480"/>
      <c r="J217" s="480"/>
      <c r="K217" s="480"/>
      <c r="L217" s="480"/>
      <c r="M217" s="480"/>
      <c r="N217" s="480"/>
      <c r="O217" s="480"/>
      <c r="P217" s="480"/>
      <c r="Q217" s="480"/>
    </row>
    <row r="218" spans="3:17">
      <c r="C218" s="685"/>
      <c r="D218" s="685"/>
      <c r="E218" s="480"/>
      <c r="F218" s="480"/>
      <c r="G218" s="480"/>
      <c r="H218" s="480"/>
      <c r="I218" s="480"/>
      <c r="J218" s="480"/>
      <c r="K218" s="480"/>
      <c r="L218" s="480"/>
      <c r="M218" s="480"/>
      <c r="N218" s="480"/>
      <c r="O218" s="480"/>
      <c r="P218" s="480"/>
      <c r="Q218" s="480"/>
    </row>
    <row r="219" spans="3:17">
      <c r="C219" s="685"/>
      <c r="D219" s="685"/>
      <c r="E219" s="480"/>
      <c r="F219" s="480"/>
      <c r="G219" s="480"/>
      <c r="H219" s="480"/>
      <c r="I219" s="480"/>
      <c r="J219" s="480"/>
      <c r="K219" s="480"/>
      <c r="L219" s="480"/>
      <c r="M219" s="480"/>
      <c r="N219" s="480"/>
      <c r="O219" s="480"/>
      <c r="P219" s="480"/>
      <c r="Q219" s="480"/>
    </row>
    <row r="220" spans="3:17">
      <c r="C220" s="685"/>
      <c r="D220" s="685"/>
      <c r="E220" s="480"/>
      <c r="F220" s="480"/>
      <c r="G220" s="480"/>
      <c r="H220" s="480"/>
      <c r="I220" s="480"/>
      <c r="J220" s="480"/>
      <c r="K220" s="480"/>
      <c r="L220" s="480"/>
      <c r="M220" s="480"/>
      <c r="N220" s="480"/>
      <c r="O220" s="480"/>
      <c r="P220" s="480"/>
      <c r="Q220" s="480"/>
    </row>
    <row r="221" spans="3:17">
      <c r="C221" s="685"/>
      <c r="D221" s="685"/>
      <c r="E221" s="480"/>
      <c r="F221" s="480"/>
      <c r="G221" s="480"/>
      <c r="H221" s="480"/>
      <c r="I221" s="480"/>
      <c r="J221" s="480"/>
      <c r="K221" s="480"/>
      <c r="L221" s="480"/>
      <c r="M221" s="480"/>
      <c r="N221" s="480"/>
      <c r="O221" s="480"/>
      <c r="P221" s="480"/>
      <c r="Q221" s="480"/>
    </row>
    <row r="222" spans="3:17">
      <c r="C222" s="685"/>
      <c r="D222" s="685"/>
      <c r="E222" s="480"/>
      <c r="F222" s="480"/>
      <c r="G222" s="480"/>
      <c r="H222" s="480"/>
      <c r="I222" s="480"/>
      <c r="J222" s="480"/>
      <c r="K222" s="480"/>
      <c r="L222" s="480"/>
      <c r="M222" s="480"/>
      <c r="N222" s="480"/>
      <c r="O222" s="480"/>
      <c r="P222" s="480"/>
      <c r="Q222" s="480"/>
    </row>
    <row r="223" spans="3:17">
      <c r="C223" s="685"/>
      <c r="D223" s="685"/>
      <c r="E223" s="480"/>
      <c r="F223" s="480"/>
      <c r="G223" s="480"/>
      <c r="H223" s="480"/>
      <c r="I223" s="480"/>
      <c r="J223" s="480"/>
      <c r="K223" s="480"/>
      <c r="L223" s="480"/>
      <c r="M223" s="480"/>
      <c r="N223" s="480"/>
      <c r="O223" s="480"/>
      <c r="P223" s="480"/>
      <c r="Q223" s="480"/>
    </row>
    <row r="224" spans="3:17">
      <c r="C224" s="685"/>
      <c r="D224" s="685"/>
      <c r="E224" s="480"/>
      <c r="F224" s="480"/>
      <c r="G224" s="480"/>
      <c r="H224" s="480"/>
      <c r="I224" s="480"/>
      <c r="J224" s="480"/>
      <c r="K224" s="480"/>
      <c r="L224" s="480"/>
      <c r="M224" s="480"/>
      <c r="N224" s="480"/>
      <c r="O224" s="480"/>
      <c r="P224" s="480"/>
      <c r="Q224" s="480"/>
    </row>
    <row r="225" spans="3:17">
      <c r="C225" s="685"/>
      <c r="D225" s="685"/>
      <c r="E225" s="480"/>
      <c r="F225" s="480"/>
      <c r="G225" s="480"/>
      <c r="H225" s="480"/>
      <c r="I225" s="480"/>
      <c r="J225" s="480"/>
      <c r="K225" s="480"/>
      <c r="L225" s="480"/>
      <c r="M225" s="480"/>
      <c r="N225" s="480"/>
      <c r="O225" s="480"/>
      <c r="P225" s="480"/>
      <c r="Q225" s="480"/>
    </row>
    <row r="226" spans="3:17">
      <c r="C226" s="685"/>
      <c r="D226" s="685"/>
      <c r="E226" s="480"/>
      <c r="F226" s="480"/>
      <c r="G226" s="480"/>
      <c r="H226" s="480"/>
      <c r="I226" s="480"/>
      <c r="J226" s="480"/>
      <c r="K226" s="480"/>
      <c r="L226" s="480"/>
      <c r="M226" s="480"/>
      <c r="N226" s="480"/>
      <c r="O226" s="480"/>
      <c r="P226" s="480"/>
      <c r="Q226" s="480"/>
    </row>
    <row r="227" spans="3:17">
      <c r="C227" s="685"/>
      <c r="D227" s="685"/>
      <c r="E227" s="480"/>
      <c r="F227" s="480"/>
      <c r="G227" s="480"/>
      <c r="H227" s="480"/>
      <c r="I227" s="480"/>
      <c r="J227" s="480"/>
      <c r="K227" s="480"/>
      <c r="L227" s="480"/>
      <c r="M227" s="480"/>
      <c r="N227" s="480"/>
      <c r="O227" s="480"/>
      <c r="P227" s="480"/>
      <c r="Q227" s="480"/>
    </row>
    <row r="228" spans="3:17">
      <c r="C228" s="685"/>
      <c r="D228" s="685"/>
      <c r="E228" s="480"/>
      <c r="F228" s="480"/>
      <c r="G228" s="480"/>
      <c r="H228" s="480"/>
      <c r="I228" s="480"/>
      <c r="J228" s="480"/>
      <c r="K228" s="480"/>
      <c r="L228" s="480"/>
      <c r="M228" s="480"/>
      <c r="N228" s="480"/>
      <c r="O228" s="480"/>
      <c r="P228" s="480"/>
      <c r="Q228" s="480"/>
    </row>
    <row r="229" spans="3:17">
      <c r="C229" s="685"/>
      <c r="D229" s="685"/>
      <c r="E229" s="480"/>
      <c r="F229" s="480"/>
      <c r="G229" s="480"/>
      <c r="H229" s="480"/>
      <c r="I229" s="480"/>
      <c r="J229" s="480"/>
      <c r="K229" s="480"/>
      <c r="L229" s="480"/>
      <c r="M229" s="480"/>
      <c r="N229" s="480"/>
      <c r="O229" s="480"/>
      <c r="P229" s="480"/>
      <c r="Q229" s="480"/>
    </row>
    <row r="230" spans="3:17">
      <c r="C230" s="685"/>
      <c r="D230" s="685"/>
      <c r="E230" s="480"/>
      <c r="F230" s="480"/>
      <c r="G230" s="480"/>
      <c r="H230" s="480"/>
      <c r="I230" s="480"/>
      <c r="J230" s="480"/>
      <c r="K230" s="480"/>
      <c r="L230" s="480"/>
      <c r="M230" s="480"/>
      <c r="N230" s="480"/>
      <c r="O230" s="480"/>
      <c r="P230" s="480"/>
      <c r="Q230" s="480"/>
    </row>
    <row r="231" spans="3:17">
      <c r="C231" s="685"/>
      <c r="D231" s="685"/>
      <c r="E231" s="480"/>
      <c r="F231" s="480"/>
      <c r="G231" s="480"/>
      <c r="H231" s="480"/>
      <c r="I231" s="480"/>
      <c r="J231" s="480"/>
      <c r="K231" s="480"/>
      <c r="L231" s="480"/>
      <c r="M231" s="480"/>
      <c r="N231" s="480"/>
      <c r="O231" s="480"/>
      <c r="P231" s="480"/>
      <c r="Q231" s="480"/>
    </row>
    <row r="232" spans="3:17">
      <c r="C232" s="685"/>
      <c r="D232" s="685"/>
      <c r="E232" s="480"/>
      <c r="F232" s="480"/>
      <c r="G232" s="480"/>
      <c r="H232" s="480"/>
      <c r="I232" s="480"/>
      <c r="J232" s="480"/>
      <c r="K232" s="480"/>
      <c r="L232" s="480"/>
      <c r="M232" s="480"/>
      <c r="N232" s="480"/>
      <c r="O232" s="480"/>
      <c r="P232" s="480"/>
      <c r="Q232" s="480"/>
    </row>
    <row r="233" spans="3:17">
      <c r="C233" s="685"/>
      <c r="D233" s="685"/>
      <c r="E233" s="480"/>
      <c r="F233" s="480"/>
      <c r="G233" s="480"/>
      <c r="H233" s="480"/>
      <c r="I233" s="480"/>
      <c r="J233" s="480"/>
      <c r="K233" s="480"/>
      <c r="L233" s="480"/>
      <c r="M233" s="480"/>
      <c r="N233" s="480"/>
      <c r="O233" s="480"/>
      <c r="P233" s="480"/>
      <c r="Q233" s="480"/>
    </row>
    <row r="234" spans="3:17">
      <c r="C234" s="685"/>
      <c r="D234" s="685"/>
      <c r="E234" s="480"/>
      <c r="F234" s="480"/>
      <c r="G234" s="480"/>
      <c r="H234" s="480"/>
      <c r="I234" s="480"/>
      <c r="J234" s="480"/>
      <c r="K234" s="480"/>
      <c r="L234" s="480"/>
      <c r="M234" s="480"/>
      <c r="N234" s="480"/>
      <c r="O234" s="480"/>
      <c r="P234" s="480"/>
      <c r="Q234" s="480"/>
    </row>
    <row r="235" spans="3:17">
      <c r="C235" s="685"/>
      <c r="D235" s="685"/>
      <c r="E235" s="480"/>
      <c r="F235" s="480"/>
      <c r="G235" s="480"/>
      <c r="H235" s="480"/>
      <c r="I235" s="480"/>
      <c r="J235" s="480"/>
      <c r="K235" s="480"/>
      <c r="L235" s="480"/>
      <c r="M235" s="480"/>
      <c r="N235" s="480"/>
      <c r="O235" s="480"/>
      <c r="P235" s="480"/>
      <c r="Q235" s="480"/>
    </row>
    <row r="236" spans="3:17">
      <c r="C236" s="685"/>
      <c r="D236" s="685"/>
      <c r="E236" s="480"/>
      <c r="F236" s="480"/>
      <c r="G236" s="480"/>
      <c r="H236" s="480"/>
      <c r="I236" s="480"/>
      <c r="J236" s="480"/>
      <c r="K236" s="480"/>
      <c r="L236" s="480"/>
      <c r="M236" s="480"/>
      <c r="N236" s="480"/>
      <c r="O236" s="480"/>
      <c r="P236" s="480"/>
      <c r="Q236" s="480"/>
    </row>
    <row r="237" spans="3:17">
      <c r="C237" s="685"/>
      <c r="D237" s="685"/>
      <c r="E237" s="480"/>
      <c r="F237" s="480"/>
      <c r="G237" s="480"/>
      <c r="H237" s="480"/>
      <c r="I237" s="480"/>
      <c r="J237" s="480"/>
      <c r="K237" s="480"/>
      <c r="L237" s="480"/>
      <c r="M237" s="480"/>
      <c r="N237" s="480"/>
      <c r="O237" s="480"/>
      <c r="P237" s="480"/>
      <c r="Q237" s="480"/>
    </row>
    <row r="238" spans="3:17">
      <c r="C238" s="685"/>
      <c r="D238" s="685"/>
      <c r="E238" s="480"/>
      <c r="F238" s="480"/>
      <c r="G238" s="480"/>
      <c r="H238" s="480"/>
      <c r="I238" s="480"/>
      <c r="J238" s="480"/>
      <c r="K238" s="480"/>
      <c r="L238" s="480"/>
      <c r="M238" s="480"/>
      <c r="N238" s="480"/>
      <c r="O238" s="480"/>
      <c r="P238" s="480"/>
      <c r="Q238" s="480"/>
    </row>
    <row r="239" spans="3:17">
      <c r="C239" s="685"/>
      <c r="D239" s="685"/>
      <c r="E239" s="480"/>
      <c r="F239" s="480"/>
      <c r="G239" s="480"/>
      <c r="H239" s="480"/>
      <c r="I239" s="480"/>
      <c r="J239" s="480"/>
      <c r="K239" s="480"/>
      <c r="L239" s="480"/>
      <c r="M239" s="480"/>
      <c r="N239" s="480"/>
      <c r="O239" s="480"/>
      <c r="P239" s="480"/>
      <c r="Q239" s="480"/>
    </row>
    <row r="240" spans="3:17">
      <c r="C240" s="685"/>
      <c r="D240" s="685"/>
      <c r="E240" s="480"/>
      <c r="F240" s="480"/>
      <c r="G240" s="480"/>
      <c r="H240" s="480"/>
      <c r="I240" s="480"/>
      <c r="J240" s="480"/>
      <c r="K240" s="480"/>
      <c r="L240" s="480"/>
      <c r="M240" s="480"/>
      <c r="N240" s="480"/>
      <c r="O240" s="480"/>
      <c r="P240" s="480"/>
      <c r="Q240" s="480"/>
    </row>
    <row r="241" spans="3:17">
      <c r="C241" s="685"/>
      <c r="D241" s="685"/>
      <c r="E241" s="480"/>
      <c r="F241" s="480"/>
      <c r="G241" s="480"/>
      <c r="H241" s="480"/>
      <c r="I241" s="480"/>
      <c r="J241" s="480"/>
      <c r="K241" s="480"/>
      <c r="L241" s="480"/>
      <c r="M241" s="480"/>
      <c r="N241" s="480"/>
      <c r="O241" s="480"/>
      <c r="P241" s="480"/>
      <c r="Q241" s="480"/>
    </row>
    <row r="242" spans="3:17">
      <c r="C242" s="685"/>
      <c r="D242" s="685"/>
      <c r="E242" s="480"/>
      <c r="F242" s="480"/>
      <c r="G242" s="480"/>
      <c r="H242" s="480"/>
      <c r="I242" s="480"/>
      <c r="J242" s="480"/>
      <c r="K242" s="480"/>
      <c r="L242" s="480"/>
      <c r="M242" s="480"/>
      <c r="N242" s="480"/>
      <c r="O242" s="480"/>
      <c r="P242" s="480"/>
      <c r="Q242" s="480"/>
    </row>
    <row r="243" spans="3:17">
      <c r="C243" s="685"/>
      <c r="D243" s="685"/>
      <c r="E243" s="480"/>
      <c r="F243" s="480"/>
      <c r="G243" s="480"/>
      <c r="H243" s="480"/>
      <c r="I243" s="480"/>
      <c r="J243" s="480"/>
      <c r="K243" s="480"/>
      <c r="L243" s="480"/>
      <c r="M243" s="480"/>
      <c r="N243" s="480"/>
      <c r="O243" s="480"/>
      <c r="P243" s="480"/>
      <c r="Q243" s="480"/>
    </row>
    <row r="244" spans="3:17">
      <c r="C244" s="685"/>
      <c r="D244" s="685"/>
      <c r="E244" s="480"/>
      <c r="F244" s="480"/>
      <c r="G244" s="480"/>
      <c r="H244" s="480"/>
      <c r="I244" s="480"/>
      <c r="J244" s="480"/>
      <c r="K244" s="480"/>
      <c r="L244" s="480"/>
      <c r="M244" s="480"/>
      <c r="N244" s="480"/>
      <c r="O244" s="480"/>
      <c r="P244" s="480"/>
      <c r="Q244" s="480"/>
    </row>
    <row r="245" spans="3:17">
      <c r="C245" s="685"/>
      <c r="D245" s="685"/>
      <c r="E245" s="480"/>
      <c r="F245" s="480"/>
      <c r="G245" s="480"/>
      <c r="H245" s="480"/>
      <c r="I245" s="480"/>
      <c r="J245" s="480"/>
      <c r="K245" s="480"/>
      <c r="L245" s="480"/>
      <c r="M245" s="480"/>
      <c r="N245" s="480"/>
      <c r="O245" s="480"/>
      <c r="P245" s="480"/>
      <c r="Q245" s="480"/>
    </row>
    <row r="246" spans="3:17">
      <c r="C246" s="685"/>
      <c r="D246" s="685"/>
      <c r="E246" s="480"/>
      <c r="F246" s="480"/>
      <c r="G246" s="480"/>
      <c r="H246" s="480"/>
      <c r="I246" s="480"/>
      <c r="J246" s="480"/>
      <c r="K246" s="480"/>
      <c r="L246" s="480"/>
      <c r="M246" s="480"/>
      <c r="N246" s="480"/>
      <c r="O246" s="480"/>
      <c r="P246" s="480"/>
      <c r="Q246" s="480"/>
    </row>
    <row r="247" spans="3:17">
      <c r="C247" s="685"/>
      <c r="D247" s="685"/>
      <c r="E247" s="480"/>
      <c r="F247" s="480"/>
      <c r="G247" s="480"/>
      <c r="H247" s="480"/>
      <c r="I247" s="480"/>
      <c r="J247" s="480"/>
      <c r="K247" s="480"/>
      <c r="L247" s="480"/>
      <c r="M247" s="480"/>
      <c r="N247" s="480"/>
      <c r="O247" s="480"/>
      <c r="P247" s="480"/>
      <c r="Q247" s="480"/>
    </row>
    <row r="248" spans="3:17">
      <c r="C248" s="685"/>
      <c r="D248" s="685"/>
      <c r="E248" s="480"/>
      <c r="F248" s="480"/>
      <c r="G248" s="480"/>
      <c r="H248" s="480"/>
      <c r="I248" s="480"/>
      <c r="J248" s="480"/>
      <c r="K248" s="480"/>
      <c r="L248" s="480"/>
      <c r="M248" s="480"/>
      <c r="N248" s="480"/>
      <c r="O248" s="480"/>
      <c r="P248" s="480"/>
      <c r="Q248" s="480"/>
    </row>
    <row r="249" spans="3:17">
      <c r="C249" s="685"/>
      <c r="D249" s="685"/>
      <c r="E249" s="480"/>
      <c r="F249" s="480"/>
      <c r="G249" s="480"/>
      <c r="H249" s="480"/>
      <c r="I249" s="480"/>
      <c r="J249" s="480"/>
      <c r="K249" s="480"/>
      <c r="L249" s="480"/>
      <c r="M249" s="480"/>
      <c r="N249" s="480"/>
      <c r="O249" s="480"/>
      <c r="P249" s="480"/>
      <c r="Q249" s="480"/>
    </row>
    <row r="250" spans="3:17">
      <c r="C250" s="685"/>
      <c r="D250" s="685"/>
      <c r="E250" s="480"/>
      <c r="F250" s="480"/>
      <c r="G250" s="480"/>
      <c r="H250" s="480"/>
      <c r="I250" s="480"/>
      <c r="J250" s="480"/>
      <c r="K250" s="480"/>
      <c r="L250" s="480"/>
      <c r="M250" s="480"/>
      <c r="N250" s="480"/>
      <c r="O250" s="480"/>
      <c r="P250" s="480"/>
      <c r="Q250" s="480"/>
    </row>
    <row r="251" spans="3:17">
      <c r="C251" s="685"/>
      <c r="D251" s="685"/>
      <c r="E251" s="480"/>
      <c r="F251" s="480"/>
      <c r="G251" s="480"/>
      <c r="H251" s="480"/>
      <c r="I251" s="480"/>
      <c r="J251" s="480"/>
      <c r="K251" s="480"/>
      <c r="L251" s="480"/>
      <c r="M251" s="480"/>
      <c r="N251" s="480"/>
      <c r="O251" s="480"/>
      <c r="P251" s="480"/>
      <c r="Q251" s="480"/>
    </row>
    <row r="252" spans="3:17">
      <c r="C252" s="685"/>
      <c r="D252" s="685"/>
      <c r="E252" s="480"/>
      <c r="F252" s="480"/>
      <c r="G252" s="480"/>
      <c r="H252" s="480"/>
      <c r="I252" s="480"/>
      <c r="J252" s="480"/>
      <c r="K252" s="480"/>
      <c r="L252" s="480"/>
      <c r="M252" s="480"/>
      <c r="N252" s="480"/>
      <c r="O252" s="480"/>
      <c r="P252" s="480"/>
      <c r="Q252" s="480"/>
    </row>
    <row r="253" spans="3:17">
      <c r="C253" s="685"/>
      <c r="D253" s="685"/>
      <c r="E253" s="480"/>
      <c r="F253" s="480"/>
      <c r="G253" s="480"/>
      <c r="H253" s="480"/>
      <c r="I253" s="480"/>
      <c r="J253" s="480"/>
      <c r="K253" s="480"/>
      <c r="L253" s="480"/>
      <c r="M253" s="480"/>
      <c r="N253" s="480"/>
      <c r="O253" s="480"/>
      <c r="P253" s="480"/>
      <c r="Q253" s="480"/>
    </row>
    <row r="254" spans="3:17">
      <c r="C254" s="685"/>
      <c r="D254" s="685"/>
      <c r="E254" s="480"/>
      <c r="F254" s="480"/>
      <c r="G254" s="480"/>
      <c r="H254" s="480"/>
      <c r="I254" s="480"/>
      <c r="J254" s="480"/>
      <c r="K254" s="480"/>
      <c r="L254" s="480"/>
      <c r="M254" s="480"/>
      <c r="N254" s="480"/>
      <c r="O254" s="480"/>
      <c r="P254" s="480"/>
      <c r="Q254" s="480"/>
    </row>
    <row r="255" spans="3:17">
      <c r="C255" s="685"/>
      <c r="D255" s="685"/>
      <c r="E255" s="480"/>
      <c r="F255" s="480"/>
      <c r="G255" s="480"/>
      <c r="H255" s="480"/>
      <c r="I255" s="480"/>
      <c r="J255" s="480"/>
      <c r="K255" s="480"/>
      <c r="L255" s="480"/>
      <c r="M255" s="480"/>
      <c r="N255" s="480"/>
      <c r="O255" s="480"/>
      <c r="P255" s="480"/>
      <c r="Q255" s="480"/>
    </row>
    <row r="256" spans="3:17">
      <c r="C256" s="685"/>
      <c r="D256" s="685"/>
      <c r="E256" s="480"/>
      <c r="F256" s="480"/>
      <c r="G256" s="480"/>
      <c r="H256" s="480"/>
      <c r="I256" s="480"/>
      <c r="J256" s="480"/>
      <c r="K256" s="480"/>
      <c r="L256" s="480"/>
      <c r="M256" s="480"/>
      <c r="N256" s="480"/>
      <c r="O256" s="480"/>
      <c r="P256" s="480"/>
      <c r="Q256" s="480"/>
    </row>
    <row r="257" spans="3:17">
      <c r="C257" s="685"/>
      <c r="D257" s="685"/>
      <c r="E257" s="480"/>
      <c r="F257" s="480"/>
      <c r="G257" s="480"/>
      <c r="H257" s="480"/>
      <c r="I257" s="480"/>
      <c r="J257" s="480"/>
      <c r="K257" s="480"/>
      <c r="L257" s="480"/>
      <c r="M257" s="480"/>
      <c r="N257" s="480"/>
      <c r="O257" s="480"/>
      <c r="P257" s="480"/>
      <c r="Q257" s="480"/>
    </row>
    <row r="258" spans="3:17">
      <c r="C258" s="685"/>
      <c r="D258" s="685"/>
      <c r="E258" s="480"/>
      <c r="F258" s="480"/>
      <c r="G258" s="480"/>
      <c r="H258" s="480"/>
      <c r="I258" s="480"/>
      <c r="J258" s="480"/>
      <c r="K258" s="480"/>
      <c r="L258" s="480"/>
      <c r="M258" s="480"/>
      <c r="N258" s="480"/>
      <c r="O258" s="480"/>
      <c r="P258" s="480"/>
      <c r="Q258" s="480"/>
    </row>
    <row r="259" spans="3:17">
      <c r="C259" s="685"/>
      <c r="D259" s="685"/>
      <c r="E259" s="480"/>
      <c r="F259" s="480"/>
      <c r="G259" s="480"/>
      <c r="H259" s="480"/>
      <c r="I259" s="480"/>
      <c r="J259" s="480"/>
      <c r="K259" s="480"/>
      <c r="L259" s="480"/>
      <c r="M259" s="480"/>
      <c r="N259" s="480"/>
      <c r="O259" s="480"/>
      <c r="P259" s="480"/>
      <c r="Q259" s="480"/>
    </row>
    <row r="260" spans="3:17">
      <c r="C260" s="685"/>
      <c r="D260" s="685"/>
      <c r="E260" s="480"/>
      <c r="F260" s="480"/>
      <c r="G260" s="480"/>
      <c r="H260" s="480"/>
      <c r="I260" s="480"/>
      <c r="J260" s="480"/>
      <c r="K260" s="480"/>
      <c r="L260" s="480"/>
      <c r="M260" s="480"/>
      <c r="N260" s="480"/>
      <c r="O260" s="480"/>
      <c r="P260" s="480"/>
      <c r="Q260" s="480"/>
    </row>
    <row r="261" spans="3:17">
      <c r="C261" s="685"/>
      <c r="D261" s="685"/>
      <c r="E261" s="480"/>
      <c r="F261" s="480"/>
      <c r="G261" s="480"/>
      <c r="H261" s="480"/>
      <c r="I261" s="480"/>
      <c r="J261" s="480"/>
      <c r="K261" s="480"/>
      <c r="L261" s="480"/>
      <c r="M261" s="480"/>
      <c r="N261" s="480"/>
      <c r="O261" s="480"/>
      <c r="P261" s="480"/>
      <c r="Q261" s="480"/>
    </row>
    <row r="262" spans="3:17">
      <c r="C262" s="685"/>
      <c r="D262" s="685"/>
      <c r="E262" s="480"/>
      <c r="F262" s="480"/>
      <c r="G262" s="480"/>
      <c r="H262" s="480"/>
      <c r="I262" s="480"/>
      <c r="J262" s="480"/>
      <c r="K262" s="480"/>
      <c r="L262" s="480"/>
      <c r="M262" s="480"/>
      <c r="N262" s="480"/>
      <c r="O262" s="480"/>
      <c r="P262" s="480"/>
      <c r="Q262" s="480"/>
    </row>
    <row r="263" spans="3:17">
      <c r="C263" s="685"/>
      <c r="D263" s="685"/>
      <c r="E263" s="480"/>
      <c r="F263" s="480"/>
      <c r="G263" s="480"/>
      <c r="H263" s="480"/>
      <c r="I263" s="480"/>
      <c r="J263" s="480"/>
      <c r="K263" s="480"/>
      <c r="L263" s="480"/>
      <c r="M263" s="480"/>
      <c r="N263" s="480"/>
      <c r="O263" s="480"/>
      <c r="P263" s="480"/>
      <c r="Q263" s="480"/>
    </row>
    <row r="264" spans="3:17">
      <c r="C264" s="685"/>
      <c r="D264" s="685"/>
      <c r="E264" s="480"/>
      <c r="F264" s="480"/>
      <c r="G264" s="480"/>
      <c r="H264" s="480"/>
      <c r="I264" s="480"/>
      <c r="J264" s="480"/>
      <c r="K264" s="480"/>
      <c r="L264" s="480"/>
      <c r="M264" s="480"/>
      <c r="N264" s="480"/>
      <c r="O264" s="480"/>
      <c r="P264" s="480"/>
      <c r="Q264" s="480"/>
    </row>
    <row r="265" spans="3:17">
      <c r="C265" s="685"/>
      <c r="D265" s="685"/>
      <c r="E265" s="480"/>
      <c r="F265" s="480"/>
      <c r="G265" s="480"/>
      <c r="H265" s="480"/>
      <c r="I265" s="480"/>
      <c r="J265" s="480"/>
      <c r="K265" s="480"/>
      <c r="L265" s="480"/>
      <c r="M265" s="480"/>
      <c r="N265" s="480"/>
      <c r="O265" s="480"/>
      <c r="P265" s="480"/>
      <c r="Q265" s="480"/>
    </row>
    <row r="266" spans="3:17">
      <c r="C266" s="685"/>
      <c r="D266" s="685"/>
      <c r="E266" s="480"/>
      <c r="F266" s="480"/>
      <c r="G266" s="480"/>
      <c r="H266" s="480"/>
      <c r="I266" s="480"/>
      <c r="J266" s="480"/>
      <c r="K266" s="480"/>
      <c r="L266" s="480"/>
      <c r="M266" s="480"/>
      <c r="N266" s="480"/>
      <c r="O266" s="480"/>
      <c r="P266" s="480"/>
      <c r="Q266" s="480"/>
    </row>
    <row r="267" spans="3:17">
      <c r="C267" s="685"/>
      <c r="D267" s="685"/>
      <c r="E267" s="480"/>
      <c r="F267" s="480"/>
      <c r="G267" s="480"/>
      <c r="H267" s="480"/>
      <c r="I267" s="480"/>
      <c r="J267" s="480"/>
      <c r="K267" s="480"/>
      <c r="L267" s="480"/>
      <c r="M267" s="480"/>
      <c r="N267" s="480"/>
      <c r="O267" s="480"/>
      <c r="P267" s="480"/>
      <c r="Q267" s="480"/>
    </row>
    <row r="268" spans="3:17">
      <c r="C268" s="685"/>
      <c r="D268" s="685"/>
      <c r="E268" s="480"/>
      <c r="F268" s="480"/>
      <c r="G268" s="480"/>
      <c r="H268" s="480"/>
      <c r="I268" s="480"/>
      <c r="J268" s="480"/>
      <c r="K268" s="480"/>
      <c r="L268" s="480"/>
      <c r="M268" s="480"/>
      <c r="N268" s="480"/>
      <c r="O268" s="480"/>
      <c r="P268" s="480"/>
      <c r="Q268" s="480"/>
    </row>
    <row r="269" spans="3:17">
      <c r="C269" s="685"/>
      <c r="D269" s="685"/>
      <c r="E269" s="480"/>
      <c r="F269" s="480"/>
      <c r="G269" s="480"/>
      <c r="H269" s="480"/>
      <c r="I269" s="480"/>
      <c r="J269" s="480"/>
      <c r="K269" s="480"/>
      <c r="L269" s="480"/>
      <c r="M269" s="480"/>
      <c r="N269" s="480"/>
      <c r="O269" s="480"/>
      <c r="P269" s="480"/>
      <c r="Q269" s="480"/>
    </row>
    <row r="270" spans="3:17">
      <c r="C270" s="685"/>
      <c r="D270" s="685"/>
      <c r="E270" s="480"/>
      <c r="F270" s="480"/>
      <c r="G270" s="480"/>
      <c r="H270" s="480"/>
      <c r="I270" s="480"/>
      <c r="J270" s="480"/>
      <c r="K270" s="480"/>
      <c r="L270" s="480"/>
      <c r="M270" s="480"/>
      <c r="N270" s="480"/>
      <c r="O270" s="480"/>
      <c r="P270" s="480"/>
      <c r="Q270" s="480"/>
    </row>
    <row r="271" spans="3:17">
      <c r="C271" s="685"/>
      <c r="D271" s="685"/>
      <c r="E271" s="480"/>
      <c r="F271" s="480"/>
      <c r="G271" s="480"/>
      <c r="H271" s="480"/>
      <c r="I271" s="480"/>
      <c r="J271" s="480"/>
      <c r="K271" s="480"/>
      <c r="L271" s="480"/>
      <c r="M271" s="480"/>
      <c r="N271" s="480"/>
      <c r="O271" s="480"/>
      <c r="P271" s="480"/>
      <c r="Q271" s="480"/>
    </row>
    <row r="272" spans="3:17">
      <c r="C272" s="685"/>
      <c r="D272" s="685"/>
      <c r="E272" s="480"/>
      <c r="F272" s="480"/>
      <c r="G272" s="480"/>
      <c r="H272" s="480"/>
      <c r="I272" s="480"/>
      <c r="J272" s="480"/>
      <c r="K272" s="480"/>
      <c r="L272" s="480"/>
      <c r="M272" s="480"/>
      <c r="N272" s="480"/>
      <c r="O272" s="480"/>
      <c r="P272" s="480"/>
      <c r="Q272" s="480"/>
    </row>
    <row r="273" spans="3:17">
      <c r="C273" s="685"/>
      <c r="D273" s="685"/>
      <c r="E273" s="480"/>
      <c r="F273" s="480"/>
      <c r="G273" s="480"/>
      <c r="H273" s="480"/>
      <c r="I273" s="480"/>
      <c r="J273" s="480"/>
      <c r="K273" s="480"/>
      <c r="L273" s="480"/>
      <c r="M273" s="480"/>
      <c r="N273" s="480"/>
      <c r="O273" s="480"/>
      <c r="P273" s="480"/>
      <c r="Q273" s="480"/>
    </row>
    <row r="274" spans="3:17">
      <c r="C274" s="685"/>
      <c r="D274" s="685"/>
      <c r="E274" s="480"/>
      <c r="F274" s="480"/>
      <c r="G274" s="480"/>
      <c r="H274" s="480"/>
      <c r="I274" s="480"/>
      <c r="J274" s="480"/>
      <c r="K274" s="480"/>
      <c r="L274" s="480"/>
      <c r="M274" s="480"/>
      <c r="N274" s="480"/>
      <c r="O274" s="480"/>
      <c r="P274" s="480"/>
      <c r="Q274" s="480"/>
    </row>
    <row r="275" spans="3:17">
      <c r="C275" s="685"/>
      <c r="D275" s="685"/>
      <c r="E275" s="480"/>
      <c r="F275" s="480"/>
      <c r="G275" s="480"/>
      <c r="H275" s="480"/>
      <c r="I275" s="480"/>
      <c r="J275" s="480"/>
      <c r="K275" s="480"/>
      <c r="L275" s="480"/>
      <c r="M275" s="480"/>
      <c r="N275" s="480"/>
      <c r="O275" s="480"/>
      <c r="P275" s="480"/>
      <c r="Q275" s="480"/>
    </row>
    <row r="276" spans="3:17">
      <c r="C276" s="685"/>
      <c r="D276" s="685"/>
      <c r="E276" s="480"/>
      <c r="F276" s="480"/>
      <c r="G276" s="480"/>
      <c r="H276" s="480"/>
      <c r="I276" s="480"/>
      <c r="J276" s="480"/>
      <c r="K276" s="480"/>
      <c r="L276" s="480"/>
      <c r="M276" s="480"/>
      <c r="N276" s="480"/>
      <c r="O276" s="480"/>
      <c r="P276" s="480"/>
      <c r="Q276" s="480"/>
    </row>
    <row r="277" spans="3:17">
      <c r="C277" s="685"/>
      <c r="D277" s="685"/>
      <c r="E277" s="480"/>
      <c r="F277" s="480"/>
      <c r="G277" s="480"/>
      <c r="H277" s="480"/>
      <c r="I277" s="480"/>
      <c r="J277" s="480"/>
      <c r="K277" s="480"/>
      <c r="L277" s="480"/>
      <c r="M277" s="480"/>
      <c r="N277" s="480"/>
      <c r="O277" s="480"/>
      <c r="P277" s="480"/>
      <c r="Q277" s="480"/>
    </row>
    <row r="278" spans="3:17">
      <c r="C278" s="685"/>
      <c r="D278" s="685"/>
      <c r="E278" s="480"/>
      <c r="F278" s="480"/>
      <c r="G278" s="480"/>
      <c r="H278" s="480"/>
      <c r="I278" s="480"/>
      <c r="J278" s="480"/>
      <c r="K278" s="480"/>
      <c r="L278" s="480"/>
      <c r="M278" s="480"/>
      <c r="N278" s="480"/>
      <c r="O278" s="480"/>
      <c r="P278" s="480"/>
      <c r="Q278" s="480"/>
    </row>
    <row r="279" spans="3:17">
      <c r="C279" s="685"/>
      <c r="D279" s="685"/>
      <c r="E279" s="480"/>
      <c r="F279" s="480"/>
      <c r="G279" s="480"/>
      <c r="H279" s="480"/>
      <c r="I279" s="480"/>
      <c r="J279" s="480"/>
      <c r="K279" s="480"/>
      <c r="L279" s="480"/>
      <c r="M279" s="480"/>
      <c r="N279" s="480"/>
      <c r="O279" s="480"/>
      <c r="P279" s="480"/>
      <c r="Q279" s="480"/>
    </row>
    <row r="280" spans="3:17">
      <c r="C280" s="685"/>
      <c r="D280" s="685"/>
      <c r="E280" s="480"/>
      <c r="F280" s="480"/>
      <c r="G280" s="480"/>
      <c r="H280" s="480"/>
      <c r="I280" s="480"/>
      <c r="J280" s="480"/>
      <c r="K280" s="480"/>
      <c r="L280" s="480"/>
      <c r="M280" s="480"/>
      <c r="N280" s="480"/>
      <c r="O280" s="480"/>
      <c r="P280" s="480"/>
      <c r="Q280" s="480"/>
    </row>
    <row r="281" spans="3:17">
      <c r="C281" s="685"/>
      <c r="D281" s="685"/>
      <c r="E281" s="480"/>
      <c r="F281" s="480"/>
      <c r="G281" s="480"/>
      <c r="H281" s="480"/>
      <c r="I281" s="480"/>
      <c r="J281" s="480"/>
      <c r="K281" s="480"/>
      <c r="L281" s="480"/>
      <c r="M281" s="480"/>
      <c r="N281" s="480"/>
      <c r="O281" s="480"/>
      <c r="P281" s="480"/>
      <c r="Q281" s="480"/>
    </row>
    <row r="282" spans="3:17">
      <c r="C282" s="685"/>
      <c r="D282" s="685"/>
      <c r="E282" s="480"/>
      <c r="F282" s="480"/>
      <c r="G282" s="480"/>
      <c r="H282" s="480"/>
      <c r="I282" s="480"/>
      <c r="J282" s="480"/>
      <c r="K282" s="480"/>
      <c r="L282" s="480"/>
      <c r="M282" s="480"/>
      <c r="N282" s="480"/>
      <c r="O282" s="480"/>
      <c r="P282" s="480"/>
      <c r="Q282" s="480"/>
    </row>
    <row r="283" spans="3:17">
      <c r="C283" s="685"/>
      <c r="D283" s="685"/>
      <c r="E283" s="480"/>
      <c r="F283" s="480"/>
      <c r="G283" s="480"/>
      <c r="H283" s="480"/>
      <c r="I283" s="480"/>
      <c r="J283" s="480"/>
      <c r="K283" s="480"/>
      <c r="L283" s="480"/>
      <c r="M283" s="480"/>
      <c r="N283" s="480"/>
      <c r="O283" s="480"/>
      <c r="P283" s="480"/>
      <c r="Q283" s="480"/>
    </row>
    <row r="284" spans="3:17">
      <c r="C284" s="685"/>
      <c r="D284" s="685"/>
      <c r="E284" s="480"/>
      <c r="F284" s="480"/>
      <c r="G284" s="480"/>
      <c r="H284" s="480"/>
      <c r="I284" s="480"/>
      <c r="J284" s="480"/>
      <c r="K284" s="480"/>
      <c r="L284" s="480"/>
      <c r="M284" s="480"/>
      <c r="N284" s="480"/>
      <c r="O284" s="480"/>
      <c r="P284" s="480"/>
      <c r="Q284" s="480"/>
    </row>
    <row r="285" spans="3:17">
      <c r="C285" s="685"/>
      <c r="D285" s="685"/>
      <c r="E285" s="480"/>
      <c r="F285" s="480"/>
      <c r="G285" s="480"/>
      <c r="H285" s="480"/>
      <c r="I285" s="480"/>
      <c r="J285" s="480"/>
      <c r="K285" s="480"/>
      <c r="L285" s="480"/>
      <c r="M285" s="480"/>
      <c r="N285" s="480"/>
      <c r="O285" s="480"/>
      <c r="P285" s="480"/>
      <c r="Q285" s="480"/>
    </row>
    <row r="286" spans="3:17">
      <c r="C286" s="685"/>
      <c r="D286" s="685"/>
      <c r="E286" s="480"/>
      <c r="F286" s="480"/>
      <c r="G286" s="480"/>
      <c r="H286" s="480"/>
      <c r="I286" s="480"/>
      <c r="J286" s="480"/>
      <c r="K286" s="480"/>
      <c r="L286" s="480"/>
      <c r="M286" s="480"/>
      <c r="N286" s="480"/>
      <c r="O286" s="480"/>
      <c r="P286" s="480"/>
      <c r="Q286" s="480"/>
    </row>
    <row r="287" spans="3:17">
      <c r="C287" s="685"/>
      <c r="D287" s="685"/>
      <c r="E287" s="480"/>
      <c r="F287" s="480"/>
      <c r="G287" s="480"/>
      <c r="H287" s="480"/>
      <c r="I287" s="480"/>
      <c r="J287" s="480"/>
      <c r="K287" s="480"/>
      <c r="L287" s="480"/>
      <c r="M287" s="480"/>
      <c r="N287" s="480"/>
      <c r="O287" s="480"/>
      <c r="P287" s="480"/>
      <c r="Q287" s="480"/>
    </row>
    <row r="288" spans="3:17">
      <c r="C288" s="685"/>
      <c r="D288" s="685"/>
      <c r="E288" s="480"/>
      <c r="F288" s="480"/>
      <c r="G288" s="480"/>
      <c r="H288" s="480"/>
      <c r="I288" s="480"/>
      <c r="J288" s="480"/>
      <c r="K288" s="480"/>
      <c r="L288" s="480"/>
      <c r="M288" s="480"/>
      <c r="N288" s="480"/>
      <c r="O288" s="480"/>
      <c r="P288" s="480"/>
      <c r="Q288" s="480"/>
    </row>
    <row r="289" spans="3:17">
      <c r="C289" s="685"/>
      <c r="D289" s="685"/>
      <c r="E289" s="480"/>
      <c r="F289" s="480"/>
      <c r="G289" s="480"/>
      <c r="H289" s="480"/>
      <c r="I289" s="480"/>
      <c r="J289" s="480"/>
      <c r="K289" s="480"/>
      <c r="L289" s="480"/>
      <c r="M289" s="480"/>
      <c r="N289" s="480"/>
      <c r="O289" s="480"/>
      <c r="P289" s="480"/>
      <c r="Q289" s="480"/>
    </row>
    <row r="290" spans="3:17">
      <c r="C290" s="685"/>
      <c r="D290" s="685"/>
      <c r="E290" s="480"/>
      <c r="F290" s="480"/>
      <c r="G290" s="480"/>
      <c r="H290" s="480"/>
      <c r="I290" s="480"/>
      <c r="J290" s="480"/>
      <c r="K290" s="480"/>
      <c r="L290" s="480"/>
      <c r="M290" s="480"/>
      <c r="N290" s="480"/>
      <c r="O290" s="480"/>
      <c r="P290" s="480"/>
      <c r="Q290" s="480"/>
    </row>
    <row r="291" spans="3:17">
      <c r="C291" s="685"/>
      <c r="D291" s="685"/>
      <c r="E291" s="480"/>
      <c r="F291" s="480"/>
      <c r="G291" s="480"/>
      <c r="H291" s="480"/>
      <c r="I291" s="480"/>
      <c r="J291" s="480"/>
      <c r="K291" s="480"/>
      <c r="L291" s="480"/>
      <c r="M291" s="480"/>
      <c r="N291" s="480"/>
      <c r="O291" s="480"/>
      <c r="P291" s="480"/>
      <c r="Q291" s="480"/>
    </row>
    <row r="292" spans="3:17">
      <c r="C292" s="685"/>
      <c r="D292" s="685"/>
      <c r="E292" s="480"/>
      <c r="F292" s="480"/>
      <c r="G292" s="480"/>
      <c r="H292" s="480"/>
      <c r="I292" s="480"/>
      <c r="J292" s="480"/>
      <c r="K292" s="480"/>
      <c r="L292" s="480"/>
      <c r="M292" s="480"/>
      <c r="N292" s="480"/>
      <c r="O292" s="480"/>
      <c r="P292" s="480"/>
      <c r="Q292" s="480"/>
    </row>
    <row r="293" spans="3:17">
      <c r="C293" s="685"/>
      <c r="D293" s="685"/>
      <c r="E293" s="480"/>
      <c r="F293" s="480"/>
      <c r="G293" s="480"/>
      <c r="H293" s="480"/>
      <c r="I293" s="480"/>
      <c r="J293" s="480"/>
      <c r="K293" s="480"/>
      <c r="L293" s="480"/>
      <c r="M293" s="480"/>
      <c r="N293" s="480"/>
      <c r="O293" s="480"/>
      <c r="P293" s="480"/>
      <c r="Q293" s="480"/>
    </row>
    <row r="294" spans="3:17">
      <c r="C294" s="685"/>
      <c r="D294" s="685"/>
      <c r="E294" s="480"/>
      <c r="F294" s="480"/>
      <c r="G294" s="480"/>
      <c r="H294" s="480"/>
      <c r="I294" s="480"/>
      <c r="J294" s="480"/>
      <c r="K294" s="480"/>
      <c r="L294" s="480"/>
      <c r="M294" s="480"/>
      <c r="N294" s="480"/>
      <c r="O294" s="480"/>
      <c r="P294" s="480"/>
      <c r="Q294" s="480"/>
    </row>
    <row r="295" spans="3:17">
      <c r="C295" s="685"/>
      <c r="D295" s="685"/>
      <c r="E295" s="480"/>
      <c r="F295" s="480"/>
      <c r="G295" s="480"/>
      <c r="H295" s="480"/>
      <c r="I295" s="480"/>
      <c r="J295" s="480"/>
      <c r="K295" s="480"/>
      <c r="L295" s="480"/>
      <c r="M295" s="480"/>
      <c r="N295" s="480"/>
      <c r="O295" s="480"/>
      <c r="P295" s="480"/>
      <c r="Q295" s="480"/>
    </row>
    <row r="296" spans="3:17">
      <c r="C296" s="685"/>
      <c r="D296" s="685"/>
      <c r="E296" s="480"/>
      <c r="F296" s="480"/>
      <c r="G296" s="480"/>
      <c r="H296" s="480"/>
      <c r="I296" s="480"/>
      <c r="J296" s="480"/>
      <c r="K296" s="480"/>
      <c r="L296" s="480"/>
      <c r="M296" s="480"/>
      <c r="N296" s="480"/>
      <c r="O296" s="480"/>
      <c r="P296" s="480"/>
      <c r="Q296" s="480"/>
    </row>
    <row r="297" spans="3:17">
      <c r="C297" s="685"/>
      <c r="D297" s="685"/>
      <c r="E297" s="480"/>
      <c r="F297" s="480"/>
      <c r="G297" s="480"/>
      <c r="H297" s="480"/>
      <c r="I297" s="480"/>
      <c r="J297" s="480"/>
      <c r="K297" s="480"/>
      <c r="L297" s="480"/>
      <c r="M297" s="480"/>
      <c r="N297" s="480"/>
      <c r="O297" s="480"/>
      <c r="P297" s="480"/>
      <c r="Q297" s="480"/>
    </row>
    <row r="298" spans="3:17">
      <c r="C298" s="685"/>
      <c r="D298" s="685"/>
      <c r="E298" s="480"/>
      <c r="F298" s="480"/>
      <c r="G298" s="480"/>
      <c r="H298" s="480"/>
      <c r="I298" s="480"/>
      <c r="J298" s="480"/>
      <c r="K298" s="480"/>
      <c r="L298" s="480"/>
      <c r="M298" s="480"/>
      <c r="N298" s="480"/>
      <c r="O298" s="480"/>
      <c r="P298" s="480"/>
      <c r="Q298" s="480"/>
    </row>
    <row r="299" spans="3:17">
      <c r="C299" s="685"/>
      <c r="D299" s="685"/>
      <c r="E299" s="480"/>
      <c r="F299" s="480"/>
      <c r="G299" s="480"/>
      <c r="H299" s="480"/>
      <c r="I299" s="480"/>
      <c r="J299" s="480"/>
      <c r="K299" s="480"/>
      <c r="L299" s="480"/>
      <c r="M299" s="480"/>
      <c r="N299" s="480"/>
      <c r="O299" s="480"/>
      <c r="P299" s="480"/>
      <c r="Q299" s="480"/>
    </row>
    <row r="300" spans="3:17">
      <c r="C300" s="685"/>
      <c r="D300" s="685"/>
      <c r="E300" s="480"/>
      <c r="F300" s="480"/>
      <c r="G300" s="480"/>
      <c r="H300" s="480"/>
      <c r="I300" s="480"/>
      <c r="J300" s="480"/>
      <c r="K300" s="480"/>
      <c r="L300" s="480"/>
      <c r="M300" s="480"/>
      <c r="N300" s="480"/>
      <c r="O300" s="480"/>
      <c r="P300" s="480"/>
      <c r="Q300" s="480"/>
    </row>
    <row r="301" spans="3:17">
      <c r="C301" s="685"/>
      <c r="D301" s="685"/>
      <c r="E301" s="480"/>
      <c r="F301" s="480"/>
      <c r="G301" s="480"/>
      <c r="H301" s="480"/>
      <c r="I301" s="480"/>
      <c r="J301" s="480"/>
      <c r="K301" s="480"/>
      <c r="L301" s="480"/>
      <c r="M301" s="480"/>
      <c r="N301" s="480"/>
      <c r="O301" s="480"/>
      <c r="P301" s="480"/>
      <c r="Q301" s="480"/>
    </row>
    <row r="302" spans="3:17">
      <c r="C302" s="685"/>
      <c r="D302" s="685"/>
      <c r="E302" s="480"/>
      <c r="F302" s="480"/>
      <c r="G302" s="480"/>
      <c r="H302" s="480"/>
      <c r="I302" s="480"/>
      <c r="J302" s="480"/>
      <c r="K302" s="480"/>
      <c r="L302" s="480"/>
      <c r="M302" s="480"/>
      <c r="N302" s="480"/>
      <c r="O302" s="480"/>
      <c r="P302" s="480"/>
      <c r="Q302" s="480"/>
    </row>
    <row r="303" spans="3:17">
      <c r="C303" s="685"/>
      <c r="D303" s="685"/>
      <c r="E303" s="480"/>
      <c r="F303" s="480"/>
      <c r="G303" s="480"/>
      <c r="H303" s="480"/>
      <c r="I303" s="480"/>
      <c r="J303" s="480"/>
      <c r="K303" s="480"/>
      <c r="L303" s="480"/>
      <c r="M303" s="480"/>
      <c r="N303" s="480"/>
      <c r="O303" s="480"/>
      <c r="P303" s="480"/>
      <c r="Q303" s="480"/>
    </row>
    <row r="304" spans="3:17">
      <c r="C304" s="685"/>
      <c r="D304" s="685"/>
      <c r="E304" s="480"/>
      <c r="F304" s="480"/>
      <c r="G304" s="480"/>
      <c r="H304" s="480"/>
      <c r="I304" s="480"/>
      <c r="J304" s="480"/>
      <c r="K304" s="480"/>
      <c r="L304" s="480"/>
      <c r="M304" s="480"/>
      <c r="N304" s="480"/>
      <c r="O304" s="480"/>
      <c r="P304" s="480"/>
      <c r="Q304" s="480"/>
    </row>
    <row r="305" spans="3:17">
      <c r="C305" s="685"/>
      <c r="D305" s="685"/>
      <c r="E305" s="480"/>
      <c r="F305" s="480"/>
      <c r="G305" s="480"/>
      <c r="H305" s="480"/>
      <c r="I305" s="480"/>
      <c r="J305" s="480"/>
      <c r="K305" s="480"/>
      <c r="L305" s="480"/>
      <c r="M305" s="480"/>
      <c r="N305" s="480"/>
      <c r="O305" s="480"/>
      <c r="P305" s="480"/>
      <c r="Q305" s="480"/>
    </row>
    <row r="306" spans="3:17">
      <c r="C306" s="685"/>
      <c r="D306" s="685"/>
      <c r="E306" s="480"/>
      <c r="F306" s="480"/>
      <c r="G306" s="480"/>
      <c r="H306" s="480"/>
      <c r="I306" s="480"/>
      <c r="J306" s="480"/>
      <c r="K306" s="480"/>
      <c r="L306" s="480"/>
      <c r="M306" s="480"/>
      <c r="N306" s="480"/>
      <c r="O306" s="480"/>
      <c r="P306" s="480"/>
      <c r="Q306" s="480"/>
    </row>
    <row r="307" spans="3:17">
      <c r="C307" s="685"/>
      <c r="D307" s="685"/>
      <c r="E307" s="480"/>
      <c r="F307" s="480"/>
      <c r="G307" s="480"/>
      <c r="H307" s="480"/>
      <c r="I307" s="480"/>
      <c r="J307" s="480"/>
      <c r="K307" s="480"/>
      <c r="L307" s="480"/>
      <c r="M307" s="480"/>
      <c r="N307" s="480"/>
      <c r="O307" s="480"/>
      <c r="P307" s="480"/>
      <c r="Q307" s="480"/>
    </row>
    <row r="308" spans="3:17">
      <c r="C308" s="685"/>
      <c r="D308" s="685"/>
      <c r="E308" s="480"/>
      <c r="F308" s="480"/>
      <c r="G308" s="480"/>
      <c r="H308" s="480"/>
      <c r="I308" s="480"/>
      <c r="J308" s="480"/>
      <c r="K308" s="480"/>
      <c r="L308" s="480"/>
      <c r="M308" s="480"/>
      <c r="N308" s="480"/>
      <c r="O308" s="480"/>
      <c r="P308" s="480"/>
      <c r="Q308" s="480"/>
    </row>
    <row r="309" spans="3:17">
      <c r="C309" s="685"/>
      <c r="D309" s="685"/>
      <c r="E309" s="480"/>
      <c r="F309" s="480"/>
      <c r="G309" s="480"/>
      <c r="H309" s="480"/>
      <c r="I309" s="480"/>
      <c r="J309" s="480"/>
      <c r="K309" s="480"/>
      <c r="L309" s="480"/>
      <c r="M309" s="480"/>
      <c r="N309" s="480"/>
      <c r="O309" s="480"/>
      <c r="P309" s="480"/>
      <c r="Q309" s="480"/>
    </row>
    <row r="310" spans="3:17">
      <c r="C310" s="685"/>
      <c r="D310" s="685"/>
      <c r="E310" s="480"/>
      <c r="F310" s="480"/>
      <c r="G310" s="480"/>
      <c r="H310" s="480"/>
      <c r="I310" s="480"/>
      <c r="J310" s="480"/>
      <c r="K310" s="480"/>
      <c r="L310" s="480"/>
      <c r="M310" s="480"/>
      <c r="N310" s="480"/>
      <c r="O310" s="480"/>
      <c r="P310" s="480"/>
      <c r="Q310" s="480"/>
    </row>
    <row r="311" spans="3:17">
      <c r="C311" s="685"/>
      <c r="D311" s="685"/>
      <c r="E311" s="480"/>
      <c r="F311" s="480"/>
      <c r="G311" s="480"/>
      <c r="H311" s="480"/>
      <c r="I311" s="480"/>
      <c r="J311" s="480"/>
      <c r="K311" s="480"/>
      <c r="L311" s="480"/>
      <c r="M311" s="480"/>
      <c r="N311" s="480"/>
      <c r="O311" s="480"/>
      <c r="P311" s="480"/>
      <c r="Q311" s="480"/>
    </row>
    <row r="312" spans="3:17">
      <c r="C312" s="685"/>
      <c r="D312" s="685"/>
      <c r="E312" s="480"/>
      <c r="F312" s="480"/>
      <c r="G312" s="480"/>
      <c r="H312" s="480"/>
      <c r="I312" s="480"/>
      <c r="J312" s="480"/>
      <c r="K312" s="480"/>
      <c r="L312" s="480"/>
      <c r="M312" s="480"/>
      <c r="N312" s="480"/>
      <c r="O312" s="480"/>
      <c r="P312" s="480"/>
      <c r="Q312" s="480"/>
    </row>
    <row r="313" spans="3:17">
      <c r="C313" s="685"/>
      <c r="D313" s="685"/>
      <c r="E313" s="480"/>
      <c r="F313" s="480"/>
      <c r="G313" s="480"/>
      <c r="H313" s="480"/>
      <c r="I313" s="480"/>
      <c r="J313" s="480"/>
      <c r="K313" s="480"/>
      <c r="L313" s="480"/>
      <c r="M313" s="480"/>
      <c r="N313" s="480"/>
      <c r="O313" s="480"/>
      <c r="P313" s="480"/>
      <c r="Q313" s="480"/>
    </row>
    <row r="314" spans="3:17">
      <c r="C314" s="685"/>
      <c r="D314" s="685"/>
      <c r="E314" s="480"/>
      <c r="F314" s="480"/>
      <c r="G314" s="480"/>
      <c r="H314" s="480"/>
      <c r="I314" s="480"/>
      <c r="J314" s="480"/>
      <c r="K314" s="480"/>
      <c r="L314" s="480"/>
      <c r="M314" s="480"/>
      <c r="N314" s="480"/>
      <c r="O314" s="480"/>
      <c r="P314" s="480"/>
      <c r="Q314" s="480"/>
    </row>
    <row r="315" spans="3:17">
      <c r="C315" s="685"/>
      <c r="D315" s="685"/>
      <c r="E315" s="480"/>
      <c r="F315" s="480"/>
      <c r="G315" s="480"/>
      <c r="H315" s="480"/>
      <c r="I315" s="480"/>
      <c r="J315" s="480"/>
      <c r="K315" s="480"/>
      <c r="L315" s="480"/>
      <c r="M315" s="480"/>
      <c r="N315" s="480"/>
      <c r="O315" s="480"/>
      <c r="P315" s="480"/>
      <c r="Q315" s="480"/>
    </row>
    <row r="316" spans="3:17">
      <c r="C316" s="685"/>
      <c r="D316" s="685"/>
      <c r="E316" s="480"/>
      <c r="F316" s="480"/>
      <c r="G316" s="480"/>
      <c r="H316" s="480"/>
      <c r="I316" s="480"/>
      <c r="J316" s="480"/>
      <c r="K316" s="480"/>
      <c r="L316" s="480"/>
      <c r="M316" s="480"/>
      <c r="N316" s="480"/>
      <c r="O316" s="480"/>
      <c r="P316" s="480"/>
      <c r="Q316" s="480"/>
    </row>
    <row r="317" spans="3:17">
      <c r="C317" s="685"/>
      <c r="D317" s="685"/>
      <c r="E317" s="480"/>
      <c r="F317" s="480"/>
      <c r="G317" s="480"/>
      <c r="H317" s="480"/>
      <c r="I317" s="480"/>
      <c r="J317" s="480"/>
      <c r="K317" s="480"/>
      <c r="L317" s="480"/>
      <c r="M317" s="480"/>
      <c r="N317" s="480"/>
      <c r="O317" s="480"/>
      <c r="P317" s="480"/>
      <c r="Q317" s="480"/>
    </row>
    <row r="318" spans="3:17">
      <c r="C318" s="685"/>
      <c r="D318" s="685"/>
      <c r="E318" s="480"/>
      <c r="F318" s="480"/>
      <c r="G318" s="480"/>
      <c r="H318" s="480"/>
      <c r="I318" s="480"/>
      <c r="J318" s="480"/>
      <c r="K318" s="480"/>
      <c r="L318" s="480"/>
      <c r="M318" s="480"/>
      <c r="N318" s="480"/>
      <c r="O318" s="480"/>
      <c r="P318" s="480"/>
      <c r="Q318" s="480"/>
    </row>
    <row r="319" spans="3:17">
      <c r="C319" s="685"/>
      <c r="D319" s="685"/>
      <c r="E319" s="480"/>
      <c r="F319" s="480"/>
      <c r="G319" s="480"/>
      <c r="H319" s="480"/>
      <c r="I319" s="480"/>
      <c r="J319" s="480"/>
      <c r="K319" s="480"/>
      <c r="L319" s="480"/>
      <c r="M319" s="480"/>
      <c r="N319" s="480"/>
      <c r="O319" s="480"/>
      <c r="P319" s="480"/>
      <c r="Q319" s="480"/>
    </row>
    <row r="320" spans="3:17">
      <c r="C320" s="685"/>
      <c r="D320" s="685"/>
      <c r="E320" s="480"/>
      <c r="F320" s="480"/>
      <c r="G320" s="480"/>
      <c r="H320" s="480"/>
      <c r="I320" s="480"/>
      <c r="J320" s="480"/>
      <c r="K320" s="480"/>
      <c r="L320" s="480"/>
      <c r="M320" s="480"/>
      <c r="N320" s="480"/>
      <c r="O320" s="480"/>
      <c r="P320" s="480"/>
      <c r="Q320" s="480"/>
    </row>
    <row r="321" spans="3:17">
      <c r="C321" s="685"/>
      <c r="D321" s="685"/>
      <c r="E321" s="480"/>
      <c r="F321" s="480"/>
      <c r="G321" s="480"/>
      <c r="H321" s="480"/>
      <c r="I321" s="480"/>
      <c r="J321" s="480"/>
      <c r="K321" s="480"/>
      <c r="L321" s="480"/>
      <c r="M321" s="480"/>
      <c r="N321" s="480"/>
      <c r="O321" s="480"/>
      <c r="P321" s="480"/>
      <c r="Q321" s="480"/>
    </row>
    <row r="322" spans="3:17">
      <c r="C322" s="685"/>
      <c r="D322" s="685"/>
      <c r="E322" s="480"/>
      <c r="F322" s="480"/>
      <c r="G322" s="480"/>
      <c r="H322" s="480"/>
      <c r="I322" s="480"/>
      <c r="J322" s="480"/>
      <c r="K322" s="480"/>
      <c r="L322" s="480"/>
      <c r="M322" s="480"/>
      <c r="N322" s="480"/>
      <c r="O322" s="480"/>
      <c r="P322" s="480"/>
      <c r="Q322" s="480"/>
    </row>
    <row r="323" spans="3:17">
      <c r="C323" s="685"/>
      <c r="D323" s="685"/>
      <c r="E323" s="480"/>
      <c r="F323" s="480"/>
      <c r="G323" s="480"/>
      <c r="H323" s="480"/>
      <c r="I323" s="480"/>
      <c r="J323" s="480"/>
      <c r="K323" s="480"/>
      <c r="L323" s="480"/>
      <c r="M323" s="480"/>
      <c r="N323" s="480"/>
      <c r="O323" s="480"/>
      <c r="P323" s="480"/>
      <c r="Q323" s="480"/>
    </row>
    <row r="324" spans="3:17">
      <c r="C324" s="685"/>
      <c r="D324" s="685"/>
      <c r="E324" s="480"/>
      <c r="F324" s="480"/>
      <c r="G324" s="480"/>
      <c r="H324" s="480"/>
      <c r="I324" s="480"/>
      <c r="J324" s="480"/>
      <c r="K324" s="480"/>
      <c r="L324" s="480"/>
      <c r="M324" s="480"/>
      <c r="N324" s="480"/>
      <c r="O324" s="480"/>
      <c r="P324" s="480"/>
      <c r="Q324" s="480"/>
    </row>
    <row r="325" spans="3:17">
      <c r="C325" s="685"/>
      <c r="D325" s="685"/>
      <c r="E325" s="480"/>
      <c r="F325" s="480"/>
      <c r="G325" s="480"/>
      <c r="H325" s="480"/>
      <c r="I325" s="480"/>
      <c r="J325" s="480"/>
      <c r="K325" s="480"/>
      <c r="L325" s="480"/>
      <c r="M325" s="480"/>
      <c r="N325" s="480"/>
      <c r="O325" s="480"/>
      <c r="P325" s="480"/>
      <c r="Q325" s="480"/>
    </row>
    <row r="326" spans="3:17">
      <c r="C326" s="685"/>
      <c r="D326" s="685"/>
      <c r="E326" s="480"/>
      <c r="F326" s="480"/>
      <c r="G326" s="480"/>
      <c r="H326" s="480"/>
      <c r="I326" s="480"/>
      <c r="J326" s="480"/>
      <c r="K326" s="480"/>
      <c r="L326" s="480"/>
      <c r="M326" s="480"/>
      <c r="N326" s="480"/>
      <c r="O326" s="480"/>
      <c r="P326" s="480"/>
      <c r="Q326" s="480"/>
    </row>
    <row r="327" spans="3:17">
      <c r="C327" s="685"/>
      <c r="D327" s="685"/>
      <c r="E327" s="480"/>
      <c r="F327" s="480"/>
      <c r="G327" s="480"/>
      <c r="H327" s="480"/>
      <c r="I327" s="480"/>
      <c r="J327" s="480"/>
      <c r="K327" s="480"/>
      <c r="L327" s="480"/>
      <c r="M327" s="480"/>
      <c r="N327" s="480"/>
      <c r="O327" s="480"/>
      <c r="P327" s="480"/>
      <c r="Q327" s="480"/>
    </row>
    <row r="328" spans="3:17">
      <c r="C328" s="685"/>
      <c r="D328" s="685"/>
      <c r="E328" s="480"/>
      <c r="F328" s="480"/>
      <c r="G328" s="480"/>
      <c r="H328" s="480"/>
      <c r="I328" s="480"/>
      <c r="J328" s="480"/>
      <c r="K328" s="480"/>
      <c r="L328" s="480"/>
      <c r="M328" s="480"/>
      <c r="N328" s="480"/>
      <c r="O328" s="480"/>
      <c r="P328" s="480"/>
      <c r="Q328" s="480"/>
    </row>
    <row r="329" spans="3:17">
      <c r="C329" s="685"/>
      <c r="D329" s="685"/>
      <c r="E329" s="480"/>
      <c r="F329" s="480"/>
      <c r="G329" s="480"/>
      <c r="H329" s="480"/>
      <c r="I329" s="480"/>
      <c r="J329" s="480"/>
      <c r="K329" s="480"/>
      <c r="L329" s="480"/>
      <c r="M329" s="480"/>
      <c r="N329" s="480"/>
      <c r="O329" s="480"/>
      <c r="P329" s="480"/>
      <c r="Q329" s="480"/>
    </row>
    <row r="330" spans="3:17">
      <c r="C330" s="685"/>
      <c r="D330" s="685"/>
      <c r="E330" s="480"/>
      <c r="F330" s="480"/>
      <c r="G330" s="480"/>
      <c r="H330" s="480"/>
      <c r="I330" s="480"/>
      <c r="J330" s="480"/>
      <c r="K330" s="480"/>
      <c r="L330" s="480"/>
      <c r="M330" s="480"/>
      <c r="N330" s="480"/>
      <c r="O330" s="480"/>
      <c r="P330" s="480"/>
      <c r="Q330" s="480"/>
    </row>
    <row r="331" spans="3:17">
      <c r="C331" s="685"/>
      <c r="D331" s="685"/>
      <c r="E331" s="480"/>
      <c r="F331" s="480"/>
      <c r="G331" s="480"/>
      <c r="H331" s="480"/>
      <c r="I331" s="480"/>
      <c r="J331" s="480"/>
      <c r="K331" s="480"/>
      <c r="L331" s="480"/>
      <c r="M331" s="480"/>
      <c r="N331" s="480"/>
      <c r="O331" s="480"/>
      <c r="P331" s="480"/>
      <c r="Q331" s="480"/>
    </row>
    <row r="332" spans="3:17">
      <c r="C332" s="685"/>
      <c r="D332" s="685"/>
      <c r="E332" s="480"/>
      <c r="F332" s="480"/>
      <c r="G332" s="480"/>
      <c r="H332" s="480"/>
      <c r="I332" s="480"/>
      <c r="J332" s="480"/>
      <c r="K332" s="480"/>
      <c r="L332" s="480"/>
      <c r="M332" s="480"/>
      <c r="N332" s="480"/>
      <c r="O332" s="480"/>
      <c r="P332" s="480"/>
      <c r="Q332" s="480"/>
    </row>
    <row r="333" spans="3:17">
      <c r="C333" s="685"/>
      <c r="D333" s="685"/>
      <c r="E333" s="480"/>
      <c r="F333" s="480"/>
      <c r="G333" s="480"/>
      <c r="H333" s="480"/>
      <c r="I333" s="480"/>
      <c r="J333" s="480"/>
      <c r="K333" s="480"/>
      <c r="L333" s="480"/>
      <c r="M333" s="480"/>
      <c r="N333" s="480"/>
      <c r="O333" s="480"/>
      <c r="P333" s="480"/>
      <c r="Q333" s="480"/>
    </row>
    <row r="334" spans="3:17">
      <c r="C334" s="685"/>
      <c r="D334" s="685"/>
      <c r="E334" s="480"/>
      <c r="F334" s="480"/>
      <c r="G334" s="480"/>
      <c r="H334" s="480"/>
      <c r="I334" s="480"/>
      <c r="J334" s="480"/>
      <c r="K334" s="480"/>
      <c r="L334" s="480"/>
      <c r="M334" s="480"/>
      <c r="N334" s="480"/>
      <c r="O334" s="480"/>
      <c r="P334" s="480"/>
      <c r="Q334" s="480"/>
    </row>
    <row r="335" spans="3:17">
      <c r="C335" s="685"/>
      <c r="D335" s="685"/>
      <c r="E335" s="480"/>
      <c r="F335" s="480"/>
      <c r="G335" s="480"/>
      <c r="H335" s="480"/>
      <c r="I335" s="480"/>
      <c r="J335" s="480"/>
      <c r="K335" s="480"/>
      <c r="L335" s="480"/>
      <c r="M335" s="480"/>
      <c r="N335" s="480"/>
      <c r="O335" s="480"/>
      <c r="P335" s="480"/>
      <c r="Q335" s="480"/>
    </row>
    <row r="336" spans="3:17">
      <c r="C336" s="685"/>
      <c r="D336" s="685"/>
      <c r="E336" s="480"/>
      <c r="F336" s="480"/>
      <c r="G336" s="480"/>
      <c r="H336" s="480"/>
      <c r="I336" s="480"/>
      <c r="J336" s="480"/>
      <c r="K336" s="480"/>
      <c r="L336" s="480"/>
      <c r="M336" s="480"/>
      <c r="N336" s="480"/>
      <c r="O336" s="480"/>
      <c r="P336" s="480"/>
      <c r="Q336" s="480"/>
    </row>
    <row r="337" spans="3:17">
      <c r="C337" s="685"/>
      <c r="D337" s="685"/>
      <c r="E337" s="480"/>
      <c r="F337" s="480"/>
      <c r="G337" s="480"/>
      <c r="H337" s="480"/>
      <c r="I337" s="480"/>
      <c r="J337" s="480"/>
      <c r="K337" s="480"/>
      <c r="L337" s="480"/>
      <c r="M337" s="480"/>
      <c r="N337" s="480"/>
      <c r="O337" s="480"/>
      <c r="P337" s="480"/>
      <c r="Q337" s="480"/>
    </row>
    <row r="338" spans="3:17">
      <c r="C338" s="685"/>
      <c r="D338" s="685"/>
      <c r="E338" s="480"/>
      <c r="F338" s="480"/>
      <c r="G338" s="480"/>
      <c r="H338" s="480"/>
      <c r="I338" s="480"/>
      <c r="J338" s="480"/>
      <c r="K338" s="480"/>
      <c r="L338" s="480"/>
      <c r="M338" s="480"/>
      <c r="N338" s="480"/>
      <c r="O338" s="480"/>
      <c r="P338" s="480"/>
      <c r="Q338" s="480"/>
    </row>
    <row r="339" spans="3:17">
      <c r="C339" s="685"/>
      <c r="D339" s="685"/>
      <c r="E339" s="480"/>
      <c r="F339" s="480"/>
      <c r="G339" s="480"/>
      <c r="H339" s="480"/>
      <c r="I339" s="480"/>
      <c r="J339" s="480"/>
      <c r="K339" s="480"/>
      <c r="L339" s="480"/>
      <c r="M339" s="480"/>
      <c r="N339" s="480"/>
      <c r="O339" s="480"/>
      <c r="P339" s="480"/>
      <c r="Q339" s="480"/>
    </row>
    <row r="340" spans="3:17">
      <c r="C340" s="685"/>
      <c r="D340" s="685"/>
      <c r="E340" s="480"/>
      <c r="F340" s="480"/>
      <c r="G340" s="480"/>
      <c r="H340" s="480"/>
      <c r="I340" s="480"/>
      <c r="J340" s="480"/>
      <c r="K340" s="480"/>
      <c r="L340" s="480"/>
      <c r="M340" s="480"/>
      <c r="N340" s="480"/>
      <c r="O340" s="480"/>
      <c r="P340" s="480"/>
      <c r="Q340" s="480"/>
    </row>
    <row r="341" spans="3:17">
      <c r="C341" s="685"/>
      <c r="D341" s="685"/>
      <c r="E341" s="480"/>
      <c r="F341" s="480"/>
      <c r="G341" s="480"/>
      <c r="H341" s="480"/>
      <c r="I341" s="480"/>
      <c r="J341" s="480"/>
      <c r="K341" s="480"/>
      <c r="L341" s="480"/>
      <c r="M341" s="480"/>
      <c r="N341" s="480"/>
      <c r="O341" s="480"/>
      <c r="P341" s="480"/>
      <c r="Q341" s="480"/>
    </row>
    <row r="342" spans="3:17">
      <c r="C342" s="685"/>
      <c r="D342" s="685"/>
      <c r="E342" s="480"/>
      <c r="F342" s="480"/>
      <c r="G342" s="480"/>
      <c r="H342" s="480"/>
      <c r="I342" s="480"/>
      <c r="J342" s="480"/>
      <c r="K342" s="480"/>
      <c r="L342" s="480"/>
      <c r="M342" s="480"/>
      <c r="N342" s="480"/>
      <c r="O342" s="480"/>
      <c r="P342" s="480"/>
      <c r="Q342" s="480"/>
    </row>
    <row r="343" spans="3:17">
      <c r="C343" s="685"/>
      <c r="D343" s="685"/>
      <c r="E343" s="480"/>
      <c r="F343" s="480"/>
      <c r="G343" s="480"/>
      <c r="H343" s="480"/>
      <c r="I343" s="480"/>
      <c r="J343" s="480"/>
      <c r="K343" s="480"/>
      <c r="L343" s="480"/>
      <c r="M343" s="480"/>
      <c r="N343" s="480"/>
      <c r="O343" s="480"/>
      <c r="P343" s="480"/>
      <c r="Q343" s="480"/>
    </row>
    <row r="344" spans="3:17">
      <c r="C344" s="685"/>
      <c r="D344" s="685"/>
      <c r="E344" s="480"/>
      <c r="F344" s="480"/>
      <c r="G344" s="480"/>
      <c r="H344" s="480"/>
      <c r="I344" s="480"/>
      <c r="J344" s="480"/>
      <c r="K344" s="480"/>
      <c r="L344" s="480"/>
      <c r="M344" s="480"/>
      <c r="N344" s="480"/>
      <c r="O344" s="480"/>
      <c r="P344" s="480"/>
      <c r="Q344" s="480"/>
    </row>
    <row r="345" spans="3:17">
      <c r="C345" s="685"/>
      <c r="D345" s="685"/>
      <c r="E345" s="480"/>
      <c r="F345" s="480"/>
      <c r="G345" s="480"/>
      <c r="H345" s="480"/>
      <c r="I345" s="480"/>
      <c r="J345" s="480"/>
      <c r="K345" s="480"/>
      <c r="L345" s="480"/>
      <c r="M345" s="480"/>
      <c r="N345" s="480"/>
      <c r="O345" s="480"/>
      <c r="P345" s="480"/>
      <c r="Q345" s="480"/>
    </row>
    <row r="346" spans="3:17">
      <c r="C346" s="685"/>
      <c r="D346" s="685"/>
      <c r="E346" s="480"/>
      <c r="F346" s="480"/>
      <c r="G346" s="480"/>
      <c r="H346" s="480"/>
      <c r="I346" s="480"/>
      <c r="J346" s="480"/>
      <c r="K346" s="480"/>
      <c r="L346" s="480"/>
      <c r="M346" s="480"/>
      <c r="N346" s="480"/>
      <c r="O346" s="480"/>
      <c r="P346" s="480"/>
      <c r="Q346" s="480"/>
    </row>
    <row r="347" spans="3:17">
      <c r="C347" s="685"/>
      <c r="D347" s="685"/>
      <c r="E347" s="480"/>
      <c r="F347" s="480"/>
      <c r="G347" s="480"/>
      <c r="H347" s="480"/>
      <c r="I347" s="480"/>
      <c r="J347" s="480"/>
      <c r="K347" s="480"/>
      <c r="L347" s="480"/>
      <c r="M347" s="480"/>
      <c r="N347" s="480"/>
      <c r="O347" s="480"/>
      <c r="P347" s="480"/>
      <c r="Q347" s="480"/>
    </row>
    <row r="348" spans="3:17">
      <c r="C348" s="685"/>
      <c r="D348" s="685"/>
      <c r="E348" s="480"/>
      <c r="F348" s="480"/>
      <c r="G348" s="480"/>
      <c r="H348" s="480"/>
      <c r="I348" s="480"/>
      <c r="J348" s="480"/>
      <c r="K348" s="480"/>
      <c r="L348" s="480"/>
      <c r="M348" s="480"/>
      <c r="N348" s="480"/>
      <c r="O348" s="480"/>
      <c r="P348" s="480"/>
      <c r="Q348" s="480"/>
    </row>
    <row r="349" spans="3:17">
      <c r="C349" s="685"/>
      <c r="D349" s="685"/>
      <c r="E349" s="480"/>
      <c r="F349" s="480"/>
      <c r="G349" s="480"/>
      <c r="H349" s="480"/>
      <c r="I349" s="480"/>
      <c r="J349" s="480"/>
      <c r="K349" s="480"/>
      <c r="L349" s="480"/>
      <c r="M349" s="480"/>
      <c r="N349" s="480"/>
      <c r="O349" s="480"/>
      <c r="P349" s="480"/>
      <c r="Q349" s="480"/>
    </row>
    <row r="350" spans="3:17">
      <c r="C350" s="685"/>
      <c r="D350" s="685"/>
      <c r="E350" s="480"/>
      <c r="F350" s="480"/>
      <c r="G350" s="480"/>
      <c r="H350" s="480"/>
      <c r="I350" s="480"/>
      <c r="J350" s="480"/>
      <c r="K350" s="480"/>
      <c r="L350" s="480"/>
      <c r="M350" s="480"/>
      <c r="N350" s="480"/>
      <c r="O350" s="480"/>
      <c r="P350" s="480"/>
      <c r="Q350" s="480"/>
    </row>
    <row r="351" spans="3:17">
      <c r="C351" s="685"/>
      <c r="D351" s="685"/>
      <c r="E351" s="480"/>
      <c r="F351" s="480"/>
      <c r="G351" s="480"/>
      <c r="H351" s="480"/>
      <c r="I351" s="480"/>
      <c r="J351" s="480"/>
      <c r="K351" s="480"/>
      <c r="L351" s="480"/>
      <c r="M351" s="480"/>
      <c r="N351" s="480"/>
      <c r="O351" s="480"/>
      <c r="P351" s="480"/>
      <c r="Q351" s="480"/>
    </row>
    <row r="352" spans="3:17">
      <c r="C352" s="685"/>
      <c r="D352" s="685"/>
      <c r="E352" s="480"/>
      <c r="F352" s="480"/>
      <c r="G352" s="480"/>
      <c r="H352" s="480"/>
      <c r="I352" s="480"/>
      <c r="J352" s="480"/>
      <c r="K352" s="480"/>
      <c r="L352" s="480"/>
      <c r="M352" s="480"/>
      <c r="N352" s="480"/>
      <c r="O352" s="480"/>
      <c r="P352" s="480"/>
      <c r="Q352" s="480"/>
    </row>
    <row r="353" spans="3:17">
      <c r="C353" s="685"/>
      <c r="D353" s="685"/>
      <c r="E353" s="480"/>
      <c r="F353" s="480"/>
      <c r="G353" s="480"/>
      <c r="H353" s="480"/>
      <c r="I353" s="480"/>
      <c r="J353" s="480"/>
      <c r="K353" s="480"/>
      <c r="L353" s="480"/>
      <c r="M353" s="480"/>
      <c r="N353" s="480"/>
      <c r="O353" s="480"/>
      <c r="P353" s="480"/>
      <c r="Q353" s="480"/>
    </row>
    <row r="354" spans="3:17">
      <c r="C354" s="685"/>
      <c r="D354" s="685"/>
      <c r="E354" s="480"/>
      <c r="F354" s="480"/>
      <c r="G354" s="480"/>
      <c r="H354" s="480"/>
      <c r="I354" s="480"/>
      <c r="J354" s="480"/>
      <c r="K354" s="480"/>
      <c r="L354" s="480"/>
      <c r="M354" s="480"/>
      <c r="N354" s="480"/>
      <c r="O354" s="480"/>
      <c r="P354" s="480"/>
      <c r="Q354" s="480"/>
    </row>
    <row r="355" spans="3:17">
      <c r="C355" s="685"/>
      <c r="D355" s="685"/>
      <c r="E355" s="480"/>
      <c r="F355" s="480"/>
      <c r="G355" s="480"/>
      <c r="H355" s="480"/>
      <c r="I355" s="480"/>
      <c r="J355" s="480"/>
      <c r="K355" s="480"/>
      <c r="L355" s="480"/>
      <c r="M355" s="480"/>
      <c r="N355" s="480"/>
      <c r="O355" s="480"/>
      <c r="P355" s="480"/>
      <c r="Q355" s="480"/>
    </row>
    <row r="356" spans="3:17">
      <c r="C356" s="685"/>
      <c r="D356" s="685"/>
      <c r="E356" s="480"/>
      <c r="F356" s="480"/>
      <c r="G356" s="480"/>
      <c r="H356" s="480"/>
      <c r="I356" s="480"/>
      <c r="J356" s="480"/>
      <c r="K356" s="480"/>
      <c r="L356" s="480"/>
      <c r="M356" s="480"/>
      <c r="N356" s="480"/>
      <c r="O356" s="480"/>
      <c r="P356" s="480"/>
      <c r="Q356" s="480"/>
    </row>
    <row r="357" spans="3:17">
      <c r="C357" s="685"/>
      <c r="D357" s="685"/>
      <c r="E357" s="480"/>
      <c r="F357" s="480"/>
      <c r="G357" s="480"/>
      <c r="H357" s="480"/>
      <c r="I357" s="480"/>
      <c r="J357" s="480"/>
      <c r="K357" s="480"/>
      <c r="L357" s="480"/>
      <c r="M357" s="480"/>
      <c r="N357" s="480"/>
      <c r="O357" s="480"/>
      <c r="P357" s="480"/>
      <c r="Q357" s="480"/>
    </row>
    <row r="358" spans="3:17">
      <c r="C358" s="685"/>
      <c r="D358" s="685"/>
      <c r="E358" s="480"/>
      <c r="F358" s="480"/>
      <c r="G358" s="480"/>
      <c r="H358" s="480"/>
      <c r="I358" s="480"/>
      <c r="J358" s="480"/>
      <c r="K358" s="480"/>
      <c r="L358" s="480"/>
      <c r="M358" s="480"/>
      <c r="N358" s="480"/>
      <c r="O358" s="480"/>
      <c r="P358" s="480"/>
      <c r="Q358" s="480"/>
    </row>
    <row r="359" spans="3:17">
      <c r="C359" s="685"/>
      <c r="D359" s="685"/>
      <c r="E359" s="480"/>
      <c r="F359" s="480"/>
      <c r="G359" s="480"/>
      <c r="H359" s="480"/>
      <c r="I359" s="480"/>
      <c r="J359" s="480"/>
      <c r="K359" s="480"/>
      <c r="L359" s="480"/>
      <c r="M359" s="480"/>
      <c r="N359" s="480"/>
      <c r="O359" s="480"/>
      <c r="P359" s="480"/>
      <c r="Q359" s="480"/>
    </row>
    <row r="360" spans="3:17">
      <c r="C360" s="685"/>
      <c r="D360" s="685"/>
      <c r="E360" s="480"/>
      <c r="F360" s="480"/>
      <c r="G360" s="480"/>
      <c r="H360" s="480"/>
      <c r="I360" s="480"/>
      <c r="J360" s="480"/>
      <c r="K360" s="480"/>
      <c r="L360" s="480"/>
      <c r="M360" s="480"/>
      <c r="N360" s="480"/>
      <c r="O360" s="480"/>
      <c r="P360" s="480"/>
      <c r="Q360" s="480"/>
    </row>
    <row r="361" spans="3:17">
      <c r="C361" s="685"/>
      <c r="D361" s="685"/>
      <c r="E361" s="480"/>
      <c r="F361" s="480"/>
      <c r="G361" s="480"/>
      <c r="H361" s="480"/>
      <c r="I361" s="480"/>
      <c r="J361" s="480"/>
      <c r="K361" s="480"/>
      <c r="L361" s="480"/>
      <c r="M361" s="480"/>
      <c r="N361" s="480"/>
      <c r="O361" s="480"/>
      <c r="P361" s="480"/>
      <c r="Q361" s="480"/>
    </row>
    <row r="362" spans="3:17">
      <c r="C362" s="685"/>
      <c r="D362" s="685"/>
      <c r="E362" s="480"/>
      <c r="F362" s="480"/>
      <c r="G362" s="480"/>
      <c r="H362" s="480"/>
      <c r="I362" s="480"/>
      <c r="J362" s="480"/>
      <c r="K362" s="480"/>
      <c r="L362" s="480"/>
      <c r="M362" s="480"/>
      <c r="N362" s="480"/>
      <c r="O362" s="480"/>
      <c r="P362" s="480"/>
      <c r="Q362" s="480"/>
    </row>
    <row r="363" spans="3:17">
      <c r="C363" s="685"/>
      <c r="D363" s="685"/>
      <c r="E363" s="480"/>
      <c r="F363" s="480"/>
      <c r="G363" s="480"/>
      <c r="H363" s="480"/>
      <c r="I363" s="480"/>
      <c r="J363" s="480"/>
      <c r="K363" s="480"/>
      <c r="L363" s="480"/>
      <c r="M363" s="480"/>
      <c r="N363" s="480"/>
      <c r="O363" s="480"/>
      <c r="P363" s="480"/>
      <c r="Q363" s="480"/>
    </row>
    <row r="364" spans="3:17">
      <c r="C364" s="685"/>
      <c r="D364" s="685"/>
      <c r="E364" s="480"/>
      <c r="F364" s="480"/>
      <c r="G364" s="480"/>
      <c r="H364" s="480"/>
      <c r="I364" s="480"/>
      <c r="J364" s="480"/>
      <c r="K364" s="480"/>
      <c r="L364" s="480"/>
      <c r="M364" s="480"/>
      <c r="N364" s="480"/>
      <c r="O364" s="480"/>
      <c r="P364" s="480"/>
      <c r="Q364" s="480"/>
    </row>
    <row r="365" spans="3:17">
      <c r="C365" s="685"/>
      <c r="D365" s="685"/>
      <c r="E365" s="480"/>
      <c r="F365" s="480"/>
      <c r="G365" s="480"/>
      <c r="H365" s="480"/>
      <c r="I365" s="480"/>
      <c r="J365" s="480"/>
      <c r="K365" s="480"/>
      <c r="L365" s="480"/>
      <c r="M365" s="480"/>
      <c r="N365" s="480"/>
      <c r="O365" s="480"/>
      <c r="P365" s="480"/>
      <c r="Q365" s="480"/>
    </row>
    <row r="366" spans="3:17">
      <c r="C366" s="685"/>
      <c r="D366" s="685"/>
      <c r="E366" s="480"/>
      <c r="F366" s="480"/>
      <c r="G366" s="480"/>
      <c r="H366" s="480"/>
      <c r="I366" s="480"/>
      <c r="J366" s="480"/>
      <c r="K366" s="480"/>
      <c r="L366" s="480"/>
      <c r="M366" s="480"/>
      <c r="N366" s="480"/>
      <c r="O366" s="480"/>
      <c r="P366" s="480"/>
      <c r="Q366" s="480"/>
    </row>
    <row r="367" spans="3:17">
      <c r="C367" s="685"/>
      <c r="D367" s="685"/>
      <c r="E367" s="480"/>
      <c r="F367" s="480"/>
      <c r="G367" s="480"/>
      <c r="H367" s="480"/>
      <c r="I367" s="480"/>
      <c r="J367" s="480"/>
      <c r="K367" s="480"/>
      <c r="L367" s="480"/>
      <c r="M367" s="480"/>
      <c r="N367" s="480"/>
      <c r="O367" s="480"/>
      <c r="P367" s="480"/>
      <c r="Q367" s="480"/>
    </row>
    <row r="368" spans="3:17">
      <c r="C368" s="685"/>
      <c r="D368" s="685"/>
      <c r="E368" s="480"/>
      <c r="F368" s="480"/>
      <c r="G368" s="480"/>
      <c r="H368" s="480"/>
      <c r="I368" s="480"/>
      <c r="J368" s="480"/>
      <c r="K368" s="480"/>
      <c r="L368" s="480"/>
      <c r="M368" s="480"/>
      <c r="N368" s="480"/>
      <c r="O368" s="480"/>
      <c r="P368" s="480"/>
      <c r="Q368" s="480"/>
    </row>
    <row r="369" spans="3:17">
      <c r="C369" s="685"/>
      <c r="D369" s="685"/>
      <c r="E369" s="480"/>
      <c r="F369" s="480"/>
      <c r="G369" s="480"/>
      <c r="H369" s="480"/>
      <c r="I369" s="480"/>
      <c r="J369" s="480"/>
      <c r="K369" s="480"/>
      <c r="L369" s="480"/>
      <c r="M369" s="480"/>
      <c r="N369" s="480"/>
      <c r="O369" s="480"/>
      <c r="P369" s="480"/>
      <c r="Q369" s="480"/>
    </row>
    <row r="370" spans="3:17">
      <c r="C370" s="685"/>
      <c r="D370" s="685"/>
      <c r="E370" s="480"/>
      <c r="F370" s="480"/>
      <c r="G370" s="480"/>
      <c r="H370" s="480"/>
      <c r="I370" s="480"/>
      <c r="J370" s="480"/>
      <c r="K370" s="480"/>
      <c r="L370" s="480"/>
      <c r="M370" s="480"/>
      <c r="N370" s="480"/>
      <c r="O370" s="480"/>
      <c r="P370" s="480"/>
      <c r="Q370" s="480"/>
    </row>
    <row r="371" spans="3:17">
      <c r="C371" s="685"/>
      <c r="D371" s="685"/>
      <c r="E371" s="480"/>
      <c r="F371" s="480"/>
      <c r="G371" s="480"/>
      <c r="H371" s="480"/>
      <c r="I371" s="480"/>
      <c r="J371" s="480"/>
      <c r="K371" s="480"/>
      <c r="L371" s="480"/>
      <c r="M371" s="480"/>
      <c r="N371" s="480"/>
      <c r="O371" s="480"/>
      <c r="P371" s="480"/>
      <c r="Q371" s="480"/>
    </row>
    <row r="372" spans="3:17">
      <c r="C372" s="685"/>
      <c r="D372" s="685"/>
      <c r="E372" s="480"/>
      <c r="F372" s="480"/>
      <c r="G372" s="480"/>
      <c r="H372" s="480"/>
      <c r="I372" s="480"/>
      <c r="J372" s="480"/>
      <c r="K372" s="480"/>
      <c r="L372" s="480"/>
      <c r="M372" s="480"/>
      <c r="N372" s="480"/>
      <c r="O372" s="480"/>
      <c r="P372" s="480"/>
      <c r="Q372" s="480"/>
    </row>
    <row r="373" spans="3:17">
      <c r="C373" s="685"/>
      <c r="D373" s="685"/>
      <c r="E373" s="480"/>
      <c r="F373" s="480"/>
      <c r="G373" s="480"/>
      <c r="H373" s="480"/>
      <c r="I373" s="480"/>
      <c r="J373" s="480"/>
      <c r="K373" s="480"/>
      <c r="L373" s="480"/>
      <c r="M373" s="480"/>
      <c r="N373" s="480"/>
      <c r="O373" s="480"/>
      <c r="P373" s="480"/>
      <c r="Q373" s="480"/>
    </row>
    <row r="374" spans="3:17">
      <c r="C374" s="685"/>
      <c r="D374" s="685"/>
      <c r="E374" s="480"/>
      <c r="F374" s="480"/>
      <c r="G374" s="480"/>
      <c r="H374" s="480"/>
      <c r="I374" s="480"/>
      <c r="J374" s="480"/>
      <c r="K374" s="480"/>
      <c r="L374" s="480"/>
      <c r="M374" s="480"/>
      <c r="N374" s="480"/>
      <c r="O374" s="480"/>
      <c r="P374" s="480"/>
      <c r="Q374" s="480"/>
    </row>
    <row r="375" spans="3:17">
      <c r="C375" s="685"/>
      <c r="D375" s="685"/>
      <c r="E375" s="480"/>
      <c r="F375" s="480"/>
      <c r="G375" s="480"/>
      <c r="H375" s="480"/>
      <c r="I375" s="480"/>
      <c r="J375" s="480"/>
      <c r="K375" s="480"/>
      <c r="L375" s="480"/>
      <c r="M375" s="480"/>
      <c r="N375" s="480"/>
      <c r="O375" s="480"/>
      <c r="P375" s="480"/>
      <c r="Q375" s="480"/>
    </row>
    <row r="376" spans="3:17">
      <c r="C376" s="685"/>
      <c r="D376" s="685"/>
      <c r="E376" s="480"/>
      <c r="F376" s="480"/>
      <c r="G376" s="480"/>
      <c r="H376" s="480"/>
      <c r="I376" s="480"/>
      <c r="J376" s="480"/>
      <c r="K376" s="480"/>
      <c r="L376" s="480"/>
      <c r="M376" s="480"/>
      <c r="N376" s="480"/>
      <c r="O376" s="480"/>
      <c r="P376" s="480"/>
      <c r="Q376" s="480"/>
    </row>
    <row r="377" spans="3:17">
      <c r="C377" s="685"/>
      <c r="D377" s="685"/>
      <c r="E377" s="480"/>
      <c r="F377" s="480"/>
      <c r="G377" s="480"/>
      <c r="H377" s="480"/>
      <c r="I377" s="480"/>
      <c r="J377" s="480"/>
      <c r="K377" s="480"/>
      <c r="L377" s="480"/>
      <c r="M377" s="480"/>
      <c r="N377" s="480"/>
      <c r="O377" s="480"/>
      <c r="P377" s="480"/>
      <c r="Q377" s="480"/>
    </row>
    <row r="378" spans="3:17">
      <c r="C378" s="685"/>
      <c r="D378" s="685"/>
      <c r="E378" s="480"/>
      <c r="F378" s="480"/>
      <c r="G378" s="480"/>
      <c r="H378" s="480"/>
      <c r="I378" s="480"/>
      <c r="J378" s="480"/>
      <c r="K378" s="480"/>
      <c r="L378" s="480"/>
      <c r="M378" s="480"/>
      <c r="N378" s="480"/>
      <c r="O378" s="480"/>
      <c r="P378" s="480"/>
      <c r="Q378" s="480"/>
    </row>
    <row r="379" spans="3:17">
      <c r="C379" s="685"/>
      <c r="D379" s="685"/>
      <c r="E379" s="480"/>
      <c r="F379" s="480"/>
      <c r="G379" s="480"/>
      <c r="H379" s="480"/>
      <c r="I379" s="480"/>
      <c r="J379" s="480"/>
      <c r="K379" s="480"/>
      <c r="L379" s="480"/>
      <c r="M379" s="480"/>
      <c r="N379" s="480"/>
      <c r="O379" s="480"/>
      <c r="P379" s="480"/>
      <c r="Q379" s="480"/>
    </row>
    <row r="380" spans="3:17">
      <c r="C380" s="685"/>
      <c r="D380" s="685"/>
      <c r="E380" s="480"/>
      <c r="F380" s="480"/>
      <c r="G380" s="480"/>
      <c r="H380" s="480"/>
      <c r="I380" s="480"/>
      <c r="J380" s="480"/>
      <c r="K380" s="480"/>
      <c r="L380" s="480"/>
      <c r="M380" s="480"/>
      <c r="N380" s="480"/>
      <c r="O380" s="480"/>
      <c r="P380" s="480"/>
      <c r="Q380" s="480"/>
    </row>
    <row r="381" spans="3:17">
      <c r="C381" s="685"/>
      <c r="D381" s="685"/>
      <c r="E381" s="480"/>
      <c r="F381" s="480"/>
      <c r="G381" s="480"/>
      <c r="H381" s="480"/>
      <c r="I381" s="480"/>
      <c r="J381" s="480"/>
      <c r="K381" s="480"/>
      <c r="L381" s="480"/>
      <c r="M381" s="480"/>
      <c r="N381" s="480"/>
      <c r="O381" s="480"/>
      <c r="P381" s="480"/>
      <c r="Q381" s="480"/>
    </row>
    <row r="382" spans="3:17">
      <c r="C382" s="685"/>
      <c r="D382" s="685"/>
      <c r="E382" s="480"/>
      <c r="F382" s="480"/>
      <c r="G382" s="480"/>
      <c r="H382" s="480"/>
      <c r="I382" s="480"/>
      <c r="J382" s="480"/>
      <c r="K382" s="480"/>
      <c r="L382" s="480"/>
      <c r="M382" s="480"/>
      <c r="N382" s="480"/>
      <c r="O382" s="480"/>
      <c r="P382" s="480"/>
      <c r="Q382" s="480"/>
    </row>
    <row r="383" spans="3:17">
      <c r="C383" s="685"/>
      <c r="D383" s="685"/>
      <c r="E383" s="480"/>
      <c r="F383" s="480"/>
      <c r="G383" s="480"/>
      <c r="H383" s="480"/>
      <c r="I383" s="480"/>
      <c r="J383" s="480"/>
      <c r="K383" s="480"/>
      <c r="L383" s="480"/>
      <c r="M383" s="480"/>
      <c r="N383" s="480"/>
      <c r="O383" s="480"/>
      <c r="P383" s="480"/>
      <c r="Q383" s="480"/>
    </row>
    <row r="384" spans="3:17">
      <c r="C384" s="685"/>
      <c r="D384" s="685"/>
      <c r="E384" s="480"/>
      <c r="F384" s="480"/>
      <c r="G384" s="480"/>
      <c r="H384" s="480"/>
      <c r="I384" s="480"/>
      <c r="J384" s="480"/>
      <c r="K384" s="480"/>
      <c r="L384" s="480"/>
      <c r="M384" s="480"/>
      <c r="N384" s="480"/>
      <c r="O384" s="480"/>
      <c r="P384" s="480"/>
      <c r="Q384" s="480"/>
    </row>
    <row r="385" spans="3:17">
      <c r="C385" s="685"/>
      <c r="D385" s="685"/>
      <c r="E385" s="480"/>
      <c r="F385" s="480"/>
      <c r="G385" s="480"/>
      <c r="H385" s="480"/>
      <c r="I385" s="480"/>
      <c r="J385" s="480"/>
      <c r="K385" s="480"/>
      <c r="L385" s="480"/>
      <c r="M385" s="480"/>
      <c r="N385" s="480"/>
      <c r="O385" s="480"/>
      <c r="P385" s="480"/>
      <c r="Q385" s="480"/>
    </row>
    <row r="386" spans="3:17">
      <c r="C386" s="685"/>
      <c r="D386" s="685"/>
      <c r="E386" s="480"/>
      <c r="F386" s="480"/>
      <c r="G386" s="480"/>
      <c r="H386" s="480"/>
      <c r="I386" s="480"/>
      <c r="J386" s="480"/>
      <c r="K386" s="480"/>
      <c r="L386" s="480"/>
      <c r="M386" s="480"/>
      <c r="N386" s="480"/>
      <c r="O386" s="480"/>
      <c r="P386" s="480"/>
      <c r="Q386" s="480"/>
    </row>
    <row r="387" spans="3:17">
      <c r="C387" s="685"/>
      <c r="D387" s="685"/>
      <c r="E387" s="480"/>
      <c r="F387" s="480"/>
      <c r="G387" s="480"/>
      <c r="H387" s="480"/>
      <c r="I387" s="480"/>
      <c r="J387" s="480"/>
      <c r="K387" s="480"/>
      <c r="L387" s="480"/>
      <c r="M387" s="480"/>
      <c r="N387" s="480"/>
      <c r="O387" s="480"/>
      <c r="P387" s="480"/>
      <c r="Q387" s="480"/>
    </row>
    <row r="388" spans="3:17">
      <c r="C388" s="685"/>
      <c r="D388" s="685"/>
      <c r="E388" s="480"/>
      <c r="F388" s="480"/>
      <c r="G388" s="480"/>
      <c r="H388" s="480"/>
      <c r="I388" s="480"/>
      <c r="J388" s="480"/>
      <c r="K388" s="480"/>
      <c r="L388" s="480"/>
      <c r="M388" s="480"/>
      <c r="N388" s="480"/>
      <c r="O388" s="480"/>
      <c r="P388" s="480"/>
      <c r="Q388" s="480"/>
    </row>
    <row r="389" spans="3:17">
      <c r="C389" s="685"/>
      <c r="D389" s="685"/>
      <c r="E389" s="480"/>
      <c r="F389" s="480"/>
      <c r="G389" s="480"/>
      <c r="H389" s="480"/>
      <c r="I389" s="480"/>
      <c r="J389" s="480"/>
      <c r="K389" s="480"/>
      <c r="L389" s="480"/>
      <c r="M389" s="480"/>
      <c r="N389" s="480"/>
      <c r="O389" s="480"/>
      <c r="P389" s="480"/>
      <c r="Q389" s="480"/>
    </row>
    <row r="390" spans="3:17">
      <c r="C390" s="685"/>
      <c r="D390" s="685"/>
      <c r="E390" s="480"/>
      <c r="F390" s="480"/>
      <c r="G390" s="480"/>
      <c r="H390" s="480"/>
      <c r="I390" s="480"/>
      <c r="J390" s="480"/>
      <c r="K390" s="480"/>
      <c r="L390" s="480"/>
      <c r="M390" s="480"/>
      <c r="N390" s="480"/>
      <c r="O390" s="480"/>
      <c r="P390" s="480"/>
      <c r="Q390" s="480"/>
    </row>
    <row r="391" spans="3:17">
      <c r="C391" s="685"/>
      <c r="D391" s="685"/>
      <c r="E391" s="480"/>
      <c r="F391" s="480"/>
      <c r="G391" s="480"/>
      <c r="H391" s="480"/>
      <c r="I391" s="480"/>
      <c r="J391" s="480"/>
      <c r="K391" s="480"/>
      <c r="L391" s="480"/>
      <c r="M391" s="480"/>
      <c r="N391" s="480"/>
      <c r="O391" s="480"/>
      <c r="P391" s="480"/>
      <c r="Q391" s="480"/>
    </row>
    <row r="392" spans="3:17">
      <c r="C392" s="685"/>
      <c r="D392" s="685"/>
      <c r="E392" s="480"/>
      <c r="F392" s="480"/>
      <c r="G392" s="480"/>
      <c r="H392" s="480"/>
      <c r="I392" s="480"/>
      <c r="J392" s="480"/>
      <c r="K392" s="480"/>
      <c r="L392" s="480"/>
      <c r="M392" s="480"/>
      <c r="N392" s="480"/>
      <c r="O392" s="480"/>
      <c r="P392" s="480"/>
      <c r="Q392" s="480"/>
    </row>
    <row r="393" spans="3:17">
      <c r="C393" s="685"/>
      <c r="D393" s="685"/>
      <c r="E393" s="480"/>
      <c r="F393" s="480"/>
      <c r="G393" s="480"/>
      <c r="H393" s="480"/>
      <c r="I393" s="480"/>
      <c r="J393" s="480"/>
      <c r="K393" s="480"/>
      <c r="L393" s="480"/>
      <c r="M393" s="480"/>
      <c r="N393" s="480"/>
      <c r="O393" s="480"/>
      <c r="P393" s="480"/>
      <c r="Q393" s="480"/>
    </row>
    <row r="394" spans="3:17">
      <c r="C394" s="685"/>
      <c r="D394" s="685"/>
      <c r="E394" s="480"/>
      <c r="F394" s="480"/>
      <c r="G394" s="480"/>
      <c r="H394" s="480"/>
      <c r="I394" s="480"/>
      <c r="J394" s="480"/>
      <c r="K394" s="480"/>
      <c r="L394" s="480"/>
      <c r="M394" s="480"/>
      <c r="N394" s="480"/>
      <c r="O394" s="480"/>
      <c r="P394" s="480"/>
      <c r="Q394" s="480"/>
    </row>
    <row r="395" spans="3:17">
      <c r="C395" s="685"/>
      <c r="D395" s="685"/>
      <c r="E395" s="480"/>
      <c r="F395" s="480"/>
      <c r="G395" s="480"/>
      <c r="H395" s="480"/>
      <c r="I395" s="480"/>
      <c r="J395" s="480"/>
      <c r="K395" s="480"/>
      <c r="L395" s="480"/>
      <c r="M395" s="480"/>
      <c r="N395" s="480"/>
      <c r="O395" s="480"/>
      <c r="P395" s="480"/>
      <c r="Q395" s="480"/>
    </row>
    <row r="396" spans="3:17">
      <c r="C396" s="685"/>
      <c r="D396" s="685"/>
      <c r="E396" s="480"/>
      <c r="F396" s="480"/>
      <c r="G396" s="480"/>
      <c r="H396" s="480"/>
      <c r="I396" s="480"/>
      <c r="J396" s="480"/>
      <c r="K396" s="480"/>
      <c r="L396" s="480"/>
      <c r="M396" s="480"/>
      <c r="N396" s="480"/>
      <c r="O396" s="480"/>
      <c r="P396" s="480"/>
      <c r="Q396" s="480"/>
    </row>
    <row r="397" spans="3:17">
      <c r="C397" s="685"/>
      <c r="D397" s="685"/>
      <c r="E397" s="480"/>
      <c r="F397" s="480"/>
      <c r="G397" s="480"/>
      <c r="H397" s="480"/>
      <c r="I397" s="480"/>
      <c r="J397" s="480"/>
      <c r="K397" s="480"/>
      <c r="L397" s="480"/>
      <c r="M397" s="480"/>
      <c r="N397" s="480"/>
      <c r="O397" s="480"/>
      <c r="P397" s="480"/>
      <c r="Q397" s="480"/>
    </row>
    <row r="398" spans="3:17">
      <c r="C398" s="685"/>
      <c r="D398" s="685"/>
      <c r="E398" s="480"/>
      <c r="F398" s="480"/>
      <c r="G398" s="480"/>
      <c r="H398" s="480"/>
      <c r="I398" s="480"/>
      <c r="J398" s="480"/>
      <c r="K398" s="480"/>
      <c r="L398" s="480"/>
      <c r="M398" s="480"/>
      <c r="N398" s="480"/>
      <c r="O398" s="480"/>
      <c r="P398" s="480"/>
      <c r="Q398" s="480"/>
    </row>
    <row r="399" spans="3:17">
      <c r="C399" s="685"/>
      <c r="D399" s="685"/>
      <c r="E399" s="480"/>
      <c r="F399" s="480"/>
      <c r="G399" s="480"/>
      <c r="H399" s="480"/>
      <c r="I399" s="480"/>
      <c r="J399" s="480"/>
      <c r="K399" s="480"/>
      <c r="L399" s="480"/>
      <c r="M399" s="480"/>
      <c r="N399" s="480"/>
      <c r="O399" s="480"/>
      <c r="P399" s="480"/>
      <c r="Q399" s="480"/>
    </row>
    <row r="400" spans="3:17">
      <c r="C400" s="685"/>
      <c r="D400" s="685"/>
      <c r="E400" s="480"/>
      <c r="F400" s="480"/>
      <c r="G400" s="480"/>
      <c r="H400" s="480"/>
      <c r="I400" s="480"/>
      <c r="J400" s="480"/>
      <c r="K400" s="480"/>
      <c r="L400" s="480"/>
      <c r="M400" s="480"/>
      <c r="N400" s="480"/>
      <c r="O400" s="480"/>
      <c r="P400" s="480"/>
      <c r="Q400" s="480"/>
    </row>
    <row r="401" spans="3:17">
      <c r="C401" s="685"/>
      <c r="D401" s="685"/>
      <c r="E401" s="480"/>
      <c r="F401" s="480"/>
      <c r="G401" s="480"/>
      <c r="H401" s="480"/>
      <c r="I401" s="480"/>
      <c r="J401" s="480"/>
      <c r="K401" s="480"/>
      <c r="L401" s="480"/>
      <c r="M401" s="480"/>
      <c r="N401" s="480"/>
      <c r="O401" s="480"/>
      <c r="P401" s="480"/>
      <c r="Q401" s="480"/>
    </row>
    <row r="402" spans="3:17">
      <c r="C402" s="685"/>
      <c r="D402" s="685"/>
      <c r="E402" s="480"/>
      <c r="F402" s="480"/>
      <c r="G402" s="480"/>
      <c r="H402" s="480"/>
      <c r="I402" s="480"/>
      <c r="J402" s="480"/>
      <c r="K402" s="480"/>
      <c r="L402" s="480"/>
      <c r="M402" s="480"/>
      <c r="N402" s="480"/>
      <c r="O402" s="480"/>
      <c r="P402" s="480"/>
      <c r="Q402" s="480"/>
    </row>
    <row r="403" spans="3:17">
      <c r="C403" s="685"/>
      <c r="D403" s="685"/>
      <c r="E403" s="480"/>
      <c r="F403" s="480"/>
      <c r="G403" s="480"/>
      <c r="H403" s="480"/>
      <c r="I403" s="480"/>
      <c r="J403" s="480"/>
      <c r="K403" s="480"/>
      <c r="L403" s="480"/>
      <c r="M403" s="480"/>
      <c r="N403" s="480"/>
      <c r="O403" s="480"/>
      <c r="P403" s="480"/>
      <c r="Q403" s="480"/>
    </row>
    <row r="404" spans="3:17">
      <c r="C404" s="685"/>
      <c r="D404" s="685"/>
      <c r="E404" s="480"/>
      <c r="F404" s="480"/>
      <c r="G404" s="480"/>
      <c r="H404" s="480"/>
      <c r="I404" s="480"/>
      <c r="J404" s="480"/>
      <c r="K404" s="480"/>
      <c r="L404" s="480"/>
      <c r="M404" s="480"/>
      <c r="N404" s="480"/>
      <c r="O404" s="480"/>
      <c r="P404" s="480"/>
      <c r="Q404" s="480"/>
    </row>
    <row r="405" spans="3:17">
      <c r="C405" s="685"/>
      <c r="D405" s="685"/>
      <c r="E405" s="480"/>
      <c r="F405" s="480"/>
      <c r="G405" s="480"/>
      <c r="H405" s="480"/>
      <c r="I405" s="480"/>
      <c r="J405" s="480"/>
      <c r="K405" s="480"/>
      <c r="L405" s="480"/>
      <c r="M405" s="480"/>
      <c r="N405" s="480"/>
      <c r="O405" s="480"/>
      <c r="P405" s="480"/>
      <c r="Q405" s="480"/>
    </row>
    <row r="406" spans="3:17">
      <c r="C406" s="685"/>
      <c r="D406" s="685"/>
      <c r="E406" s="480"/>
      <c r="F406" s="480"/>
      <c r="G406" s="480"/>
      <c r="H406" s="480"/>
      <c r="I406" s="480"/>
      <c r="J406" s="480"/>
      <c r="K406" s="480"/>
      <c r="L406" s="480"/>
      <c r="M406" s="480"/>
      <c r="N406" s="480"/>
      <c r="O406" s="480"/>
      <c r="P406" s="480"/>
      <c r="Q406" s="480"/>
    </row>
    <row r="407" spans="3:17">
      <c r="C407" s="685"/>
      <c r="D407" s="685"/>
      <c r="E407" s="480"/>
      <c r="F407" s="480"/>
      <c r="G407" s="480"/>
      <c r="H407" s="480"/>
      <c r="I407" s="480"/>
      <c r="J407" s="480"/>
      <c r="K407" s="480"/>
      <c r="L407" s="480"/>
      <c r="M407" s="480"/>
      <c r="N407" s="480"/>
      <c r="O407" s="480"/>
      <c r="P407" s="480"/>
      <c r="Q407" s="480"/>
    </row>
    <row r="408" spans="3:17">
      <c r="C408" s="685"/>
      <c r="D408" s="685"/>
      <c r="E408" s="480"/>
      <c r="F408" s="480"/>
      <c r="G408" s="480"/>
      <c r="H408" s="480"/>
      <c r="I408" s="480"/>
      <c r="J408" s="480"/>
      <c r="K408" s="480"/>
      <c r="L408" s="480"/>
      <c r="M408" s="480"/>
      <c r="N408" s="480"/>
      <c r="O408" s="480"/>
      <c r="P408" s="480"/>
      <c r="Q408" s="480"/>
    </row>
    <row r="409" spans="3:17">
      <c r="C409" s="685"/>
      <c r="D409" s="685"/>
      <c r="E409" s="480"/>
      <c r="F409" s="480"/>
      <c r="G409" s="480"/>
      <c r="H409" s="480"/>
      <c r="I409" s="480"/>
      <c r="J409" s="480"/>
      <c r="K409" s="480"/>
      <c r="L409" s="480"/>
      <c r="M409" s="480"/>
      <c r="N409" s="480"/>
      <c r="O409" s="480"/>
      <c r="P409" s="480"/>
      <c r="Q409" s="480"/>
    </row>
    <row r="410" spans="3:17">
      <c r="C410" s="685"/>
      <c r="D410" s="685"/>
      <c r="E410" s="480"/>
      <c r="F410" s="480"/>
      <c r="G410" s="480"/>
      <c r="H410" s="480"/>
      <c r="I410" s="480"/>
      <c r="J410" s="480"/>
      <c r="K410" s="480"/>
      <c r="L410" s="480"/>
      <c r="M410" s="480"/>
      <c r="N410" s="480"/>
      <c r="O410" s="480"/>
      <c r="P410" s="480"/>
      <c r="Q410" s="480"/>
    </row>
    <row r="411" spans="3:17">
      <c r="C411" s="685"/>
      <c r="D411" s="685"/>
      <c r="E411" s="480"/>
      <c r="F411" s="480"/>
      <c r="G411" s="480"/>
      <c r="H411" s="480"/>
      <c r="I411" s="480"/>
      <c r="J411" s="480"/>
      <c r="K411" s="480"/>
      <c r="L411" s="480"/>
      <c r="M411" s="480"/>
      <c r="N411" s="480"/>
      <c r="O411" s="480"/>
      <c r="P411" s="480"/>
      <c r="Q411" s="480"/>
    </row>
    <row r="412" spans="3:17">
      <c r="C412" s="685"/>
      <c r="D412" s="685"/>
      <c r="E412" s="480"/>
      <c r="F412" s="480"/>
      <c r="G412" s="480"/>
      <c r="H412" s="480"/>
      <c r="I412" s="480"/>
      <c r="J412" s="480"/>
      <c r="K412" s="480"/>
      <c r="L412" s="480"/>
      <c r="M412" s="480"/>
      <c r="N412" s="480"/>
      <c r="O412" s="480"/>
      <c r="P412" s="480"/>
      <c r="Q412" s="480"/>
    </row>
    <row r="413" spans="3:17">
      <c r="C413" s="685"/>
      <c r="D413" s="685"/>
      <c r="E413" s="480"/>
      <c r="F413" s="480"/>
      <c r="G413" s="480"/>
      <c r="H413" s="480"/>
      <c r="I413" s="480"/>
      <c r="J413" s="480"/>
      <c r="K413" s="480"/>
      <c r="L413" s="480"/>
      <c r="M413" s="480"/>
      <c r="N413" s="480"/>
      <c r="O413" s="480"/>
      <c r="P413" s="480"/>
      <c r="Q413" s="480"/>
    </row>
    <row r="414" spans="3:17">
      <c r="C414" s="685"/>
      <c r="D414" s="685"/>
      <c r="E414" s="480"/>
      <c r="F414" s="480"/>
      <c r="G414" s="480"/>
      <c r="H414" s="480"/>
      <c r="I414" s="480"/>
      <c r="J414" s="480"/>
      <c r="K414" s="480"/>
      <c r="L414" s="480"/>
      <c r="M414" s="480"/>
      <c r="N414" s="480"/>
      <c r="O414" s="480"/>
      <c r="P414" s="480"/>
      <c r="Q414" s="480"/>
    </row>
    <row r="415" spans="3:17">
      <c r="C415" s="685"/>
      <c r="D415" s="685"/>
      <c r="E415" s="480"/>
      <c r="F415" s="480"/>
      <c r="G415" s="480"/>
      <c r="H415" s="480"/>
      <c r="I415" s="480"/>
      <c r="J415" s="480"/>
      <c r="K415" s="480"/>
      <c r="L415" s="480"/>
      <c r="M415" s="480"/>
      <c r="N415" s="480"/>
      <c r="O415" s="480"/>
      <c r="P415" s="480"/>
      <c r="Q415" s="480"/>
    </row>
    <row r="416" spans="3:17">
      <c r="C416" s="685"/>
      <c r="D416" s="685"/>
      <c r="E416" s="480"/>
      <c r="F416" s="480"/>
      <c r="G416" s="480"/>
      <c r="H416" s="480"/>
      <c r="I416" s="480"/>
      <c r="J416" s="480"/>
      <c r="K416" s="480"/>
      <c r="L416" s="480"/>
      <c r="M416" s="480"/>
      <c r="N416" s="480"/>
      <c r="O416" s="480"/>
      <c r="P416" s="480"/>
      <c r="Q416" s="480"/>
    </row>
    <row r="417" spans="3:17">
      <c r="C417" s="685"/>
      <c r="D417" s="685"/>
      <c r="E417" s="480"/>
      <c r="F417" s="480"/>
      <c r="G417" s="480"/>
      <c r="H417" s="480"/>
      <c r="I417" s="480"/>
      <c r="J417" s="480"/>
      <c r="K417" s="480"/>
      <c r="L417" s="480"/>
      <c r="M417" s="480"/>
      <c r="N417" s="480"/>
      <c r="O417" s="480"/>
      <c r="P417" s="480"/>
      <c r="Q417" s="480"/>
    </row>
    <row r="418" spans="3:17">
      <c r="C418" s="685"/>
      <c r="D418" s="685"/>
      <c r="E418" s="480"/>
      <c r="F418" s="480"/>
      <c r="G418" s="480"/>
      <c r="H418" s="480"/>
      <c r="I418" s="480"/>
      <c r="J418" s="480"/>
      <c r="K418" s="480"/>
      <c r="L418" s="480"/>
      <c r="M418" s="480"/>
      <c r="N418" s="480"/>
      <c r="O418" s="480"/>
      <c r="P418" s="480"/>
      <c r="Q418" s="480"/>
    </row>
    <row r="419" spans="3:17">
      <c r="C419" s="685"/>
      <c r="D419" s="685"/>
      <c r="E419" s="480"/>
      <c r="F419" s="480"/>
      <c r="G419" s="480"/>
      <c r="H419" s="480"/>
      <c r="I419" s="480"/>
      <c r="J419" s="480"/>
      <c r="K419" s="480"/>
      <c r="L419" s="480"/>
      <c r="M419" s="480"/>
      <c r="N419" s="480"/>
      <c r="O419" s="480"/>
      <c r="P419" s="480"/>
      <c r="Q419" s="480"/>
    </row>
    <row r="420" spans="3:17">
      <c r="C420" s="685"/>
      <c r="D420" s="685"/>
      <c r="E420" s="480"/>
      <c r="F420" s="480"/>
      <c r="G420" s="480"/>
      <c r="H420" s="480"/>
      <c r="I420" s="480"/>
      <c r="J420" s="480"/>
      <c r="K420" s="480"/>
      <c r="L420" s="480"/>
      <c r="M420" s="480"/>
      <c r="N420" s="480"/>
      <c r="O420" s="480"/>
      <c r="P420" s="480"/>
      <c r="Q420" s="480"/>
    </row>
    <row r="421" spans="3:17">
      <c r="C421" s="685"/>
      <c r="D421" s="685"/>
      <c r="E421" s="480"/>
      <c r="F421" s="480"/>
      <c r="G421" s="480"/>
      <c r="H421" s="480"/>
      <c r="I421" s="480"/>
      <c r="J421" s="480"/>
      <c r="K421" s="480"/>
      <c r="L421" s="480"/>
      <c r="M421" s="480"/>
      <c r="N421" s="480"/>
      <c r="O421" s="480"/>
      <c r="P421" s="480"/>
      <c r="Q421" s="480"/>
    </row>
    <row r="422" spans="3:17">
      <c r="C422" s="685"/>
      <c r="D422" s="685"/>
      <c r="E422" s="480"/>
      <c r="F422" s="480"/>
      <c r="G422" s="480"/>
      <c r="H422" s="480"/>
      <c r="I422" s="480"/>
      <c r="J422" s="480"/>
      <c r="K422" s="480"/>
      <c r="L422" s="480"/>
      <c r="M422" s="480"/>
      <c r="N422" s="480"/>
      <c r="O422" s="480"/>
      <c r="P422" s="480"/>
      <c r="Q422" s="480"/>
    </row>
    <row r="423" spans="3:17">
      <c r="C423" s="685"/>
      <c r="D423" s="685"/>
      <c r="E423" s="480"/>
      <c r="F423" s="480"/>
      <c r="G423" s="480"/>
      <c r="H423" s="480"/>
      <c r="I423" s="480"/>
      <c r="J423" s="480"/>
      <c r="K423" s="480"/>
      <c r="L423" s="480"/>
      <c r="M423" s="480"/>
      <c r="N423" s="480"/>
      <c r="O423" s="480"/>
      <c r="P423" s="480"/>
      <c r="Q423" s="480"/>
    </row>
    <row r="424" spans="3:17">
      <c r="C424" s="685"/>
      <c r="D424" s="685"/>
      <c r="E424" s="480"/>
      <c r="F424" s="480"/>
      <c r="G424" s="480"/>
      <c r="H424" s="480"/>
      <c r="I424" s="480"/>
      <c r="J424" s="480"/>
      <c r="K424" s="480"/>
      <c r="L424" s="480"/>
      <c r="M424" s="480"/>
      <c r="N424" s="480"/>
      <c r="O424" s="480"/>
      <c r="P424" s="480"/>
      <c r="Q424" s="480"/>
    </row>
    <row r="425" spans="3:17">
      <c r="C425" s="685"/>
      <c r="D425" s="685"/>
      <c r="E425" s="480"/>
      <c r="F425" s="480"/>
      <c r="G425" s="480"/>
      <c r="H425" s="480"/>
      <c r="I425" s="480"/>
      <c r="J425" s="480"/>
      <c r="K425" s="480"/>
      <c r="L425" s="480"/>
      <c r="M425" s="480"/>
      <c r="N425" s="480"/>
      <c r="O425" s="480"/>
      <c r="P425" s="480"/>
      <c r="Q425" s="480"/>
    </row>
    <row r="426" spans="3:17">
      <c r="C426" s="685"/>
      <c r="D426" s="685"/>
      <c r="E426" s="480"/>
      <c r="F426" s="480"/>
      <c r="G426" s="480"/>
      <c r="H426" s="480"/>
      <c r="I426" s="480"/>
      <c r="J426" s="480"/>
      <c r="K426" s="480"/>
      <c r="L426" s="480"/>
      <c r="M426" s="480"/>
      <c r="N426" s="480"/>
      <c r="O426" s="480"/>
      <c r="P426" s="480"/>
      <c r="Q426" s="480"/>
    </row>
    <row r="427" spans="3:17">
      <c r="C427" s="685"/>
      <c r="D427" s="685"/>
      <c r="E427" s="480"/>
      <c r="F427" s="480"/>
      <c r="G427" s="480"/>
      <c r="H427" s="480"/>
      <c r="I427" s="480"/>
      <c r="J427" s="480"/>
      <c r="K427" s="480"/>
      <c r="L427" s="480"/>
      <c r="M427" s="480"/>
      <c r="N427" s="480"/>
      <c r="O427" s="480"/>
      <c r="P427" s="480"/>
      <c r="Q427" s="480"/>
    </row>
    <row r="428" spans="3:17">
      <c r="C428" s="685"/>
      <c r="D428" s="685"/>
      <c r="E428" s="480"/>
      <c r="F428" s="480"/>
      <c r="G428" s="480"/>
      <c r="H428" s="480"/>
      <c r="I428" s="480"/>
      <c r="J428" s="480"/>
      <c r="K428" s="480"/>
      <c r="L428" s="480"/>
      <c r="M428" s="480"/>
      <c r="N428" s="480"/>
      <c r="O428" s="480"/>
      <c r="P428" s="480"/>
      <c r="Q428" s="480"/>
    </row>
    <row r="429" spans="3:17">
      <c r="C429" s="685"/>
      <c r="D429" s="685"/>
      <c r="E429" s="480"/>
      <c r="F429" s="480"/>
      <c r="G429" s="480"/>
      <c r="H429" s="480"/>
      <c r="I429" s="480"/>
      <c r="J429" s="480"/>
      <c r="K429" s="480"/>
      <c r="L429" s="480"/>
      <c r="M429" s="480"/>
      <c r="N429" s="480"/>
      <c r="O429" s="480"/>
      <c r="P429" s="480"/>
      <c r="Q429" s="480"/>
    </row>
    <row r="430" spans="3:17">
      <c r="C430" s="685"/>
      <c r="D430" s="685"/>
      <c r="E430" s="480"/>
      <c r="F430" s="480"/>
      <c r="G430" s="480"/>
      <c r="H430" s="480"/>
      <c r="I430" s="480"/>
      <c r="J430" s="480"/>
      <c r="K430" s="480"/>
      <c r="L430" s="480"/>
      <c r="M430" s="480"/>
      <c r="N430" s="480"/>
      <c r="O430" s="480"/>
      <c r="P430" s="480"/>
      <c r="Q430" s="480"/>
    </row>
    <row r="431" spans="3:17">
      <c r="C431" s="685"/>
      <c r="D431" s="685"/>
      <c r="E431" s="480"/>
      <c r="F431" s="480"/>
      <c r="G431" s="480"/>
      <c r="H431" s="480"/>
      <c r="I431" s="480"/>
      <c r="J431" s="480"/>
      <c r="K431" s="480"/>
      <c r="L431" s="480"/>
      <c r="M431" s="480"/>
      <c r="N431" s="480"/>
      <c r="O431" s="480"/>
      <c r="P431" s="480"/>
      <c r="Q431" s="480"/>
    </row>
    <row r="432" spans="3:17">
      <c r="C432" s="685"/>
      <c r="D432" s="685"/>
      <c r="E432" s="480"/>
      <c r="F432" s="480"/>
      <c r="G432" s="480"/>
      <c r="H432" s="480"/>
      <c r="I432" s="480"/>
      <c r="J432" s="480"/>
      <c r="K432" s="480"/>
      <c r="L432" s="480"/>
      <c r="M432" s="480"/>
      <c r="N432" s="480"/>
      <c r="O432" s="480"/>
      <c r="P432" s="480"/>
      <c r="Q432" s="480"/>
    </row>
    <row r="433" spans="3:17">
      <c r="C433" s="685"/>
      <c r="D433" s="685"/>
      <c r="E433" s="480"/>
      <c r="F433" s="480"/>
      <c r="G433" s="480"/>
      <c r="H433" s="480"/>
      <c r="I433" s="480"/>
      <c r="J433" s="480"/>
      <c r="K433" s="480"/>
      <c r="L433" s="480"/>
      <c r="M433" s="480"/>
      <c r="N433" s="480"/>
      <c r="O433" s="480"/>
      <c r="P433" s="480"/>
      <c r="Q433" s="480"/>
    </row>
    <row r="434" spans="3:17">
      <c r="C434" s="685"/>
      <c r="D434" s="685"/>
      <c r="E434" s="480"/>
      <c r="F434" s="480"/>
      <c r="G434" s="480"/>
      <c r="H434" s="480"/>
      <c r="I434" s="480"/>
      <c r="J434" s="480"/>
      <c r="K434" s="480"/>
      <c r="L434" s="480"/>
      <c r="M434" s="480"/>
      <c r="N434" s="480"/>
      <c r="O434" s="480"/>
      <c r="P434" s="480"/>
      <c r="Q434" s="480"/>
    </row>
    <row r="435" spans="3:17">
      <c r="C435" s="685"/>
      <c r="D435" s="685"/>
      <c r="E435" s="480"/>
      <c r="F435" s="480"/>
      <c r="G435" s="480"/>
      <c r="H435" s="480"/>
      <c r="I435" s="480"/>
      <c r="J435" s="480"/>
      <c r="K435" s="480"/>
      <c r="L435" s="480"/>
      <c r="M435" s="480"/>
      <c r="N435" s="480"/>
      <c r="O435" s="480"/>
      <c r="P435" s="480"/>
      <c r="Q435" s="480"/>
    </row>
    <row r="436" spans="3:17">
      <c r="C436" s="685"/>
      <c r="D436" s="685"/>
      <c r="E436" s="480"/>
      <c r="F436" s="480"/>
      <c r="G436" s="480"/>
      <c r="H436" s="480"/>
      <c r="I436" s="480"/>
      <c r="J436" s="480"/>
      <c r="K436" s="480"/>
      <c r="L436" s="480"/>
      <c r="M436" s="480"/>
      <c r="N436" s="480"/>
      <c r="O436" s="480"/>
      <c r="P436" s="480"/>
      <c r="Q436" s="480"/>
    </row>
    <row r="437" spans="3:17">
      <c r="C437" s="685"/>
      <c r="D437" s="685"/>
      <c r="E437" s="480"/>
      <c r="F437" s="480"/>
      <c r="G437" s="480"/>
      <c r="H437" s="480"/>
      <c r="I437" s="480"/>
      <c r="J437" s="480"/>
      <c r="K437" s="480"/>
      <c r="L437" s="480"/>
      <c r="M437" s="480"/>
      <c r="N437" s="480"/>
      <c r="O437" s="480"/>
      <c r="P437" s="480"/>
      <c r="Q437" s="480"/>
    </row>
    <row r="438" spans="3:17">
      <c r="C438" s="685"/>
      <c r="D438" s="685"/>
      <c r="E438" s="480"/>
      <c r="F438" s="480"/>
      <c r="G438" s="480"/>
      <c r="H438" s="480"/>
      <c r="I438" s="480"/>
      <c r="J438" s="480"/>
      <c r="K438" s="480"/>
      <c r="L438" s="480"/>
      <c r="M438" s="480"/>
      <c r="N438" s="480"/>
      <c r="O438" s="480"/>
      <c r="P438" s="480"/>
      <c r="Q438" s="480"/>
    </row>
    <row r="439" spans="3:17">
      <c r="C439" s="685"/>
      <c r="D439" s="685"/>
      <c r="E439" s="480"/>
      <c r="F439" s="480"/>
      <c r="G439" s="480"/>
      <c r="H439" s="480"/>
      <c r="I439" s="480"/>
      <c r="J439" s="480"/>
      <c r="K439" s="480"/>
      <c r="L439" s="480"/>
      <c r="M439" s="480"/>
      <c r="N439" s="480"/>
      <c r="O439" s="480"/>
      <c r="P439" s="480"/>
      <c r="Q439" s="480"/>
    </row>
    <row r="440" spans="3:17">
      <c r="C440" s="685"/>
      <c r="D440" s="685"/>
      <c r="E440" s="480"/>
      <c r="F440" s="480"/>
      <c r="G440" s="480"/>
      <c r="H440" s="480"/>
      <c r="I440" s="480"/>
      <c r="J440" s="480"/>
      <c r="K440" s="480"/>
      <c r="L440" s="480"/>
      <c r="M440" s="480"/>
      <c r="N440" s="480"/>
      <c r="O440" s="480"/>
      <c r="P440" s="480"/>
      <c r="Q440" s="480"/>
    </row>
    <row r="441" spans="3:17">
      <c r="C441" s="685"/>
      <c r="D441" s="685"/>
      <c r="E441" s="480"/>
      <c r="F441" s="480"/>
      <c r="G441" s="480"/>
      <c r="H441" s="480"/>
      <c r="I441" s="480"/>
      <c r="J441" s="480"/>
      <c r="K441" s="480"/>
      <c r="L441" s="480"/>
      <c r="M441" s="480"/>
      <c r="N441" s="480"/>
      <c r="O441" s="480"/>
      <c r="P441" s="480"/>
      <c r="Q441" s="480"/>
    </row>
    <row r="442" spans="3:17">
      <c r="C442" s="685"/>
      <c r="D442" s="685"/>
      <c r="E442" s="480"/>
      <c r="F442" s="480"/>
      <c r="G442" s="480"/>
      <c r="H442" s="480"/>
      <c r="I442" s="480"/>
      <c r="J442" s="480"/>
      <c r="K442" s="480"/>
      <c r="L442" s="480"/>
      <c r="M442" s="480"/>
      <c r="N442" s="480"/>
      <c r="O442" s="480"/>
      <c r="P442" s="480"/>
      <c r="Q442" s="480"/>
    </row>
    <row r="443" spans="3:17">
      <c r="C443" s="685"/>
      <c r="D443" s="685"/>
      <c r="E443" s="480"/>
      <c r="F443" s="480"/>
      <c r="G443" s="480"/>
      <c r="H443" s="480"/>
      <c r="I443" s="480"/>
      <c r="J443" s="480"/>
      <c r="K443" s="480"/>
      <c r="L443" s="480"/>
      <c r="M443" s="480"/>
      <c r="N443" s="480"/>
      <c r="O443" s="480"/>
      <c r="P443" s="480"/>
      <c r="Q443" s="480"/>
    </row>
    <row r="444" spans="3:17">
      <c r="C444" s="685"/>
      <c r="D444" s="685"/>
      <c r="E444" s="480"/>
      <c r="F444" s="480"/>
      <c r="G444" s="480"/>
      <c r="H444" s="480"/>
      <c r="I444" s="480"/>
      <c r="J444" s="480"/>
      <c r="K444" s="480"/>
      <c r="L444" s="480"/>
      <c r="M444" s="480"/>
      <c r="N444" s="480"/>
      <c r="O444" s="480"/>
      <c r="P444" s="480"/>
      <c r="Q444" s="480"/>
    </row>
    <row r="445" spans="3:17">
      <c r="C445" s="685"/>
      <c r="D445" s="685"/>
      <c r="E445" s="480"/>
      <c r="F445" s="480"/>
      <c r="G445" s="480"/>
      <c r="H445" s="480"/>
      <c r="I445" s="480"/>
      <c r="J445" s="480"/>
      <c r="K445" s="480"/>
      <c r="L445" s="480"/>
      <c r="M445" s="480"/>
      <c r="N445" s="480"/>
      <c r="O445" s="480"/>
      <c r="P445" s="480"/>
      <c r="Q445" s="480"/>
    </row>
    <row r="446" spans="3:17">
      <c r="C446" s="685"/>
      <c r="D446" s="685"/>
      <c r="E446" s="480"/>
      <c r="F446" s="480"/>
      <c r="G446" s="480"/>
      <c r="H446" s="480"/>
      <c r="I446" s="480"/>
      <c r="J446" s="480"/>
      <c r="K446" s="480"/>
      <c r="L446" s="480"/>
      <c r="M446" s="480"/>
      <c r="N446" s="480"/>
      <c r="O446" s="480"/>
      <c r="P446" s="480"/>
      <c r="Q446" s="480"/>
    </row>
    <row r="447" spans="3:17">
      <c r="C447" s="685"/>
      <c r="D447" s="685"/>
      <c r="E447" s="480"/>
      <c r="F447" s="480"/>
      <c r="G447" s="480"/>
      <c r="H447" s="480"/>
      <c r="I447" s="480"/>
      <c r="J447" s="480"/>
      <c r="K447" s="480"/>
      <c r="L447" s="480"/>
      <c r="M447" s="480"/>
      <c r="N447" s="480"/>
      <c r="O447" s="480"/>
      <c r="P447" s="480"/>
      <c r="Q447" s="480"/>
    </row>
    <row r="448" spans="3:17">
      <c r="C448" s="685"/>
      <c r="D448" s="685"/>
      <c r="E448" s="480"/>
      <c r="F448" s="480"/>
      <c r="G448" s="480"/>
      <c r="H448" s="480"/>
      <c r="I448" s="480"/>
      <c r="J448" s="480"/>
      <c r="K448" s="480"/>
      <c r="L448" s="480"/>
      <c r="M448" s="480"/>
      <c r="N448" s="480"/>
      <c r="O448" s="480"/>
      <c r="P448" s="480"/>
      <c r="Q448" s="480"/>
    </row>
    <row r="449" spans="3:17">
      <c r="C449" s="685"/>
      <c r="D449" s="685"/>
      <c r="E449" s="480"/>
      <c r="F449" s="480"/>
      <c r="G449" s="480"/>
      <c r="H449" s="480"/>
      <c r="I449" s="480"/>
      <c r="J449" s="480"/>
      <c r="K449" s="480"/>
      <c r="L449" s="480"/>
      <c r="M449" s="480"/>
      <c r="N449" s="480"/>
      <c r="O449" s="480"/>
      <c r="P449" s="480"/>
      <c r="Q449" s="480"/>
    </row>
    <row r="450" spans="3:17">
      <c r="C450" s="685"/>
      <c r="D450" s="685"/>
      <c r="E450" s="480"/>
      <c r="F450" s="480"/>
      <c r="G450" s="480"/>
      <c r="H450" s="480"/>
      <c r="I450" s="480"/>
      <c r="J450" s="480"/>
      <c r="K450" s="480"/>
      <c r="L450" s="480"/>
      <c r="M450" s="480"/>
      <c r="N450" s="480"/>
      <c r="O450" s="480"/>
      <c r="P450" s="480"/>
      <c r="Q450" s="480"/>
    </row>
    <row r="451" spans="3:17">
      <c r="C451" s="685"/>
      <c r="D451" s="685"/>
      <c r="E451" s="480"/>
      <c r="F451" s="480"/>
      <c r="G451" s="480"/>
      <c r="H451" s="480"/>
      <c r="I451" s="480"/>
      <c r="J451" s="480"/>
      <c r="K451" s="480"/>
      <c r="L451" s="480"/>
      <c r="M451" s="480"/>
      <c r="N451" s="480"/>
      <c r="O451" s="480"/>
      <c r="P451" s="480"/>
      <c r="Q451" s="480"/>
    </row>
    <row r="452" spans="3:17">
      <c r="C452" s="685"/>
      <c r="D452" s="685"/>
      <c r="E452" s="480"/>
      <c r="F452" s="480"/>
      <c r="G452" s="480"/>
      <c r="H452" s="480"/>
      <c r="I452" s="480"/>
      <c r="J452" s="480"/>
      <c r="K452" s="480"/>
      <c r="L452" s="480"/>
      <c r="M452" s="480"/>
      <c r="N452" s="480"/>
      <c r="O452" s="480"/>
      <c r="P452" s="480"/>
      <c r="Q452" s="480"/>
    </row>
    <row r="453" spans="3:17">
      <c r="C453" s="685"/>
      <c r="D453" s="685"/>
      <c r="E453" s="480"/>
      <c r="F453" s="480"/>
      <c r="G453" s="480"/>
      <c r="H453" s="480"/>
      <c r="I453" s="480"/>
      <c r="J453" s="480"/>
      <c r="K453" s="480"/>
      <c r="L453" s="480"/>
      <c r="M453" s="480"/>
      <c r="N453" s="480"/>
      <c r="O453" s="480"/>
      <c r="P453" s="480"/>
      <c r="Q453" s="480"/>
    </row>
    <row r="454" spans="3:17">
      <c r="C454" s="685"/>
      <c r="D454" s="685"/>
      <c r="E454" s="480"/>
      <c r="F454" s="480"/>
      <c r="G454" s="480"/>
      <c r="H454" s="480"/>
      <c r="I454" s="480"/>
      <c r="J454" s="480"/>
      <c r="K454" s="480"/>
      <c r="L454" s="480"/>
      <c r="M454" s="480"/>
      <c r="N454" s="480"/>
      <c r="O454" s="480"/>
      <c r="P454" s="480"/>
      <c r="Q454" s="480"/>
    </row>
    <row r="455" spans="3:17">
      <c r="C455" s="685"/>
      <c r="D455" s="685"/>
      <c r="E455" s="480"/>
      <c r="F455" s="480"/>
      <c r="G455" s="480"/>
      <c r="H455" s="480"/>
      <c r="I455" s="480"/>
      <c r="J455" s="480"/>
      <c r="K455" s="480"/>
      <c r="L455" s="480"/>
      <c r="M455" s="480"/>
      <c r="N455" s="480"/>
      <c r="O455" s="480"/>
      <c r="P455" s="480"/>
      <c r="Q455" s="480"/>
    </row>
    <row r="456" spans="3:17">
      <c r="C456" s="685"/>
      <c r="D456" s="685"/>
      <c r="E456" s="480"/>
      <c r="F456" s="480"/>
      <c r="G456" s="480"/>
      <c r="H456" s="480"/>
      <c r="I456" s="480"/>
      <c r="J456" s="480"/>
      <c r="K456" s="480"/>
      <c r="L456" s="480"/>
      <c r="M456" s="480"/>
      <c r="N456" s="480"/>
      <c r="O456" s="480"/>
      <c r="P456" s="480"/>
      <c r="Q456" s="480"/>
    </row>
    <row r="457" spans="3:17">
      <c r="C457" s="685"/>
      <c r="D457" s="685"/>
      <c r="E457" s="480"/>
      <c r="F457" s="480"/>
      <c r="G457" s="480"/>
      <c r="H457" s="480"/>
      <c r="I457" s="480"/>
      <c r="J457" s="480"/>
      <c r="K457" s="480"/>
      <c r="L457" s="480"/>
      <c r="M457" s="480"/>
      <c r="N457" s="480"/>
      <c r="O457" s="480"/>
      <c r="P457" s="480"/>
      <c r="Q457" s="480"/>
    </row>
    <row r="458" spans="3:17">
      <c r="C458" s="685"/>
      <c r="D458" s="685"/>
      <c r="E458" s="480"/>
      <c r="F458" s="480"/>
      <c r="G458" s="480"/>
      <c r="H458" s="480"/>
      <c r="I458" s="480"/>
      <c r="J458" s="480"/>
      <c r="K458" s="480"/>
      <c r="L458" s="480"/>
      <c r="M458" s="480"/>
      <c r="N458" s="480"/>
      <c r="O458" s="480"/>
      <c r="P458" s="480"/>
      <c r="Q458" s="480"/>
    </row>
    <row r="459" spans="3:17">
      <c r="C459" s="685"/>
      <c r="D459" s="685"/>
      <c r="E459" s="480"/>
      <c r="F459" s="480"/>
      <c r="G459" s="480"/>
      <c r="H459" s="480"/>
      <c r="I459" s="480"/>
      <c r="J459" s="480"/>
      <c r="K459" s="480"/>
      <c r="L459" s="480"/>
      <c r="M459" s="480"/>
      <c r="N459" s="480"/>
      <c r="O459" s="480"/>
      <c r="P459" s="480"/>
      <c r="Q459" s="480"/>
    </row>
    <row r="460" spans="3:17">
      <c r="C460" s="685"/>
      <c r="D460" s="685"/>
      <c r="E460" s="480"/>
      <c r="F460" s="480"/>
      <c r="G460" s="480"/>
      <c r="H460" s="480"/>
      <c r="I460" s="480"/>
      <c r="J460" s="480"/>
      <c r="K460" s="480"/>
      <c r="L460" s="480"/>
      <c r="M460" s="480"/>
      <c r="N460" s="480"/>
      <c r="O460" s="480"/>
      <c r="P460" s="480"/>
      <c r="Q460" s="480"/>
    </row>
    <row r="461" spans="3:17">
      <c r="C461" s="685"/>
      <c r="D461" s="685"/>
      <c r="E461" s="480"/>
      <c r="F461" s="480"/>
      <c r="G461" s="480"/>
      <c r="H461" s="480"/>
      <c r="I461" s="480"/>
      <c r="J461" s="480"/>
      <c r="K461" s="480"/>
      <c r="L461" s="480"/>
      <c r="M461" s="480"/>
      <c r="N461" s="480"/>
      <c r="O461" s="480"/>
      <c r="P461" s="480"/>
      <c r="Q461" s="480"/>
    </row>
    <row r="462" spans="3:17">
      <c r="C462" s="685"/>
      <c r="D462" s="685"/>
      <c r="E462" s="480"/>
      <c r="F462" s="480"/>
      <c r="G462" s="480"/>
      <c r="H462" s="480"/>
      <c r="I462" s="480"/>
      <c r="J462" s="480"/>
      <c r="K462" s="480"/>
      <c r="L462" s="480"/>
      <c r="M462" s="480"/>
      <c r="N462" s="480"/>
      <c r="O462" s="480"/>
      <c r="P462" s="480"/>
      <c r="Q462" s="480"/>
    </row>
    <row r="463" spans="3:17">
      <c r="C463" s="685"/>
      <c r="D463" s="685"/>
      <c r="E463" s="480"/>
      <c r="F463" s="480"/>
      <c r="G463" s="480"/>
      <c r="H463" s="480"/>
      <c r="I463" s="480"/>
      <c r="J463" s="480"/>
      <c r="K463" s="480"/>
      <c r="L463" s="480"/>
      <c r="M463" s="480"/>
      <c r="N463" s="480"/>
      <c r="O463" s="480"/>
      <c r="P463" s="480"/>
      <c r="Q463" s="480"/>
    </row>
    <row r="464" spans="3:17">
      <c r="C464" s="685"/>
      <c r="D464" s="685"/>
      <c r="E464" s="480"/>
      <c r="F464" s="480"/>
      <c r="G464" s="480"/>
      <c r="H464" s="480"/>
      <c r="I464" s="480"/>
      <c r="J464" s="480"/>
      <c r="K464" s="480"/>
      <c r="L464" s="480"/>
      <c r="M464" s="480"/>
      <c r="N464" s="480"/>
      <c r="O464" s="480"/>
      <c r="P464" s="480"/>
      <c r="Q464" s="480"/>
    </row>
    <row r="465" spans="3:17">
      <c r="C465" s="685"/>
      <c r="D465" s="685"/>
      <c r="E465" s="480"/>
      <c r="F465" s="480"/>
      <c r="G465" s="480"/>
      <c r="H465" s="480"/>
      <c r="I465" s="480"/>
      <c r="J465" s="480"/>
      <c r="K465" s="480"/>
      <c r="L465" s="480"/>
      <c r="M465" s="480"/>
      <c r="N465" s="480"/>
      <c r="O465" s="480"/>
      <c r="P465" s="480"/>
      <c r="Q465" s="480"/>
    </row>
    <row r="466" spans="3:17">
      <c r="C466" s="685"/>
      <c r="D466" s="685"/>
      <c r="E466" s="480"/>
      <c r="F466" s="480"/>
      <c r="G466" s="480"/>
      <c r="H466" s="480"/>
      <c r="I466" s="480"/>
      <c r="J466" s="480"/>
      <c r="K466" s="480"/>
      <c r="L466" s="480"/>
      <c r="M466" s="480"/>
      <c r="N466" s="480"/>
      <c r="O466" s="480"/>
      <c r="P466" s="480"/>
      <c r="Q466" s="480"/>
    </row>
    <row r="467" spans="3:17">
      <c r="C467" s="685"/>
      <c r="D467" s="685"/>
      <c r="E467" s="480"/>
      <c r="F467" s="480"/>
      <c r="G467" s="480"/>
      <c r="H467" s="480"/>
      <c r="I467" s="480"/>
      <c r="J467" s="480"/>
      <c r="K467" s="480"/>
      <c r="L467" s="480"/>
      <c r="M467" s="480"/>
      <c r="N467" s="480"/>
      <c r="O467" s="480"/>
      <c r="P467" s="480"/>
      <c r="Q467" s="480"/>
    </row>
    <row r="468" spans="3:17">
      <c r="C468" s="685"/>
      <c r="D468" s="685"/>
      <c r="E468" s="480"/>
      <c r="F468" s="480"/>
      <c r="G468" s="480"/>
      <c r="H468" s="480"/>
      <c r="I468" s="480"/>
      <c r="J468" s="480"/>
      <c r="K468" s="480"/>
      <c r="L468" s="480"/>
      <c r="M468" s="480"/>
      <c r="N468" s="480"/>
      <c r="O468" s="480"/>
      <c r="P468" s="480"/>
      <c r="Q468" s="480"/>
    </row>
    <row r="469" spans="3:17">
      <c r="C469" s="685"/>
      <c r="D469" s="685"/>
      <c r="E469" s="480"/>
      <c r="F469" s="480"/>
      <c r="G469" s="480"/>
      <c r="H469" s="480"/>
      <c r="I469" s="480"/>
      <c r="J469" s="480"/>
      <c r="K469" s="480"/>
      <c r="L469" s="480"/>
      <c r="M469" s="480"/>
      <c r="N469" s="480"/>
      <c r="O469" s="480"/>
      <c r="P469" s="480"/>
      <c r="Q469" s="480"/>
    </row>
    <row r="470" spans="3:17">
      <c r="C470" s="685"/>
      <c r="D470" s="685"/>
      <c r="E470" s="480"/>
      <c r="F470" s="480"/>
      <c r="G470" s="480"/>
      <c r="H470" s="480"/>
      <c r="I470" s="480"/>
      <c r="J470" s="480"/>
      <c r="K470" s="480"/>
      <c r="L470" s="480"/>
      <c r="M470" s="480"/>
      <c r="N470" s="480"/>
      <c r="O470" s="480"/>
      <c r="P470" s="480"/>
      <c r="Q470" s="480"/>
    </row>
    <row r="471" spans="3:17">
      <c r="C471" s="685"/>
      <c r="D471" s="685"/>
      <c r="E471" s="480"/>
      <c r="F471" s="480"/>
      <c r="G471" s="480"/>
      <c r="H471" s="480"/>
      <c r="I471" s="480"/>
      <c r="J471" s="480"/>
      <c r="K471" s="480"/>
      <c r="L471" s="480"/>
      <c r="M471" s="480"/>
      <c r="N471" s="480"/>
      <c r="O471" s="480"/>
      <c r="P471" s="480"/>
      <c r="Q471" s="480"/>
    </row>
    <row r="472" spans="3:17">
      <c r="C472" s="685"/>
      <c r="D472" s="685"/>
      <c r="E472" s="480"/>
      <c r="F472" s="480"/>
      <c r="G472" s="480"/>
      <c r="H472" s="480"/>
      <c r="I472" s="480"/>
      <c r="J472" s="480"/>
      <c r="K472" s="480"/>
      <c r="L472" s="480"/>
      <c r="M472" s="480"/>
      <c r="N472" s="480"/>
      <c r="O472" s="480"/>
      <c r="P472" s="480"/>
      <c r="Q472" s="480"/>
    </row>
    <row r="473" spans="3:17">
      <c r="C473" s="685"/>
      <c r="D473" s="685"/>
      <c r="E473" s="480"/>
      <c r="F473" s="480"/>
      <c r="G473" s="480"/>
      <c r="H473" s="480"/>
      <c r="I473" s="480"/>
      <c r="J473" s="480"/>
      <c r="K473" s="480"/>
      <c r="L473" s="480"/>
      <c r="M473" s="480"/>
      <c r="N473" s="480"/>
      <c r="O473" s="480"/>
      <c r="P473" s="480"/>
      <c r="Q473" s="480"/>
    </row>
    <row r="474" spans="3:17">
      <c r="C474" s="685"/>
      <c r="D474" s="685"/>
      <c r="E474" s="480"/>
      <c r="F474" s="480"/>
      <c r="G474" s="480"/>
      <c r="H474" s="480"/>
      <c r="I474" s="480"/>
      <c r="J474" s="480"/>
      <c r="K474" s="480"/>
      <c r="L474" s="480"/>
      <c r="M474" s="480"/>
      <c r="N474" s="480"/>
      <c r="O474" s="480"/>
      <c r="P474" s="480"/>
      <c r="Q474" s="480"/>
    </row>
    <row r="475" spans="3:17">
      <c r="C475" s="685"/>
      <c r="D475" s="685"/>
      <c r="E475" s="480"/>
      <c r="F475" s="480"/>
      <c r="G475" s="480"/>
      <c r="H475" s="480"/>
      <c r="I475" s="480"/>
      <c r="J475" s="480"/>
      <c r="K475" s="480"/>
      <c r="L475" s="480"/>
      <c r="M475" s="480"/>
      <c r="N475" s="480"/>
      <c r="O475" s="480"/>
      <c r="P475" s="480"/>
      <c r="Q475" s="480"/>
    </row>
    <row r="476" spans="3:17">
      <c r="C476" s="685"/>
      <c r="D476" s="685"/>
      <c r="E476" s="480"/>
      <c r="F476" s="480"/>
      <c r="G476" s="480"/>
      <c r="H476" s="480"/>
      <c r="I476" s="480"/>
      <c r="J476" s="480"/>
      <c r="K476" s="480"/>
      <c r="L476" s="480"/>
      <c r="M476" s="480"/>
      <c r="N476" s="480"/>
      <c r="O476" s="480"/>
      <c r="P476" s="480"/>
      <c r="Q476" s="480"/>
    </row>
    <row r="477" spans="3:17">
      <c r="C477" s="685"/>
      <c r="D477" s="685"/>
      <c r="E477" s="480"/>
      <c r="F477" s="480"/>
      <c r="G477" s="480"/>
      <c r="H477" s="480"/>
      <c r="I477" s="480"/>
      <c r="J477" s="480"/>
      <c r="K477" s="480"/>
      <c r="L477" s="480"/>
      <c r="M477" s="480"/>
      <c r="N477" s="480"/>
      <c r="O477" s="480"/>
      <c r="P477" s="480"/>
      <c r="Q477" s="480"/>
    </row>
    <row r="478" spans="3:17">
      <c r="C478" s="685"/>
      <c r="D478" s="685"/>
      <c r="E478" s="480"/>
      <c r="F478" s="480"/>
      <c r="G478" s="480"/>
      <c r="H478" s="480"/>
      <c r="I478" s="480"/>
      <c r="J478" s="480"/>
      <c r="K478" s="480"/>
      <c r="L478" s="480"/>
      <c r="M478" s="480"/>
      <c r="N478" s="480"/>
      <c r="O478" s="480"/>
      <c r="P478" s="480"/>
      <c r="Q478" s="480"/>
    </row>
    <row r="479" spans="3:17">
      <c r="C479" s="685"/>
      <c r="D479" s="685"/>
      <c r="E479" s="480"/>
      <c r="F479" s="480"/>
      <c r="G479" s="480"/>
      <c r="H479" s="480"/>
      <c r="I479" s="480"/>
      <c r="J479" s="480"/>
      <c r="K479" s="480"/>
      <c r="L479" s="480"/>
      <c r="M479" s="480"/>
      <c r="N479" s="480"/>
      <c r="O479" s="480"/>
      <c r="P479" s="480"/>
      <c r="Q479" s="480"/>
    </row>
    <row r="480" spans="3:17">
      <c r="C480" s="685"/>
      <c r="D480" s="685"/>
      <c r="E480" s="480"/>
      <c r="F480" s="480"/>
      <c r="G480" s="480"/>
      <c r="H480" s="480"/>
      <c r="I480" s="480"/>
      <c r="J480" s="480"/>
      <c r="K480" s="480"/>
      <c r="L480" s="480"/>
      <c r="M480" s="480"/>
      <c r="N480" s="480"/>
      <c r="O480" s="480"/>
      <c r="P480" s="480"/>
      <c r="Q480" s="480"/>
    </row>
    <row r="481" spans="3:17">
      <c r="C481" s="685"/>
      <c r="D481" s="685"/>
      <c r="E481" s="480"/>
      <c r="F481" s="480"/>
      <c r="G481" s="480"/>
      <c r="H481" s="480"/>
      <c r="I481" s="480"/>
      <c r="J481" s="480"/>
      <c r="K481" s="480"/>
      <c r="L481" s="480"/>
      <c r="M481" s="480"/>
      <c r="N481" s="480"/>
      <c r="O481" s="480"/>
      <c r="P481" s="480"/>
      <c r="Q481" s="480"/>
    </row>
    <row r="482" spans="3:17">
      <c r="C482" s="685"/>
      <c r="D482" s="685"/>
      <c r="E482" s="480"/>
      <c r="F482" s="480"/>
      <c r="G482" s="480"/>
      <c r="H482" s="480"/>
      <c r="I482" s="480"/>
      <c r="J482" s="480"/>
      <c r="K482" s="480"/>
      <c r="L482" s="480"/>
      <c r="M482" s="480"/>
      <c r="N482" s="480"/>
      <c r="O482" s="480"/>
      <c r="P482" s="480"/>
      <c r="Q482" s="480"/>
    </row>
    <row r="483" spans="3:17">
      <c r="C483" s="685"/>
      <c r="D483" s="685"/>
      <c r="E483" s="480"/>
      <c r="F483" s="480"/>
      <c r="G483" s="480"/>
      <c r="H483" s="480"/>
      <c r="I483" s="480"/>
      <c r="J483" s="480"/>
      <c r="K483" s="480"/>
      <c r="L483" s="480"/>
      <c r="M483" s="480"/>
      <c r="N483" s="480"/>
      <c r="O483" s="480"/>
      <c r="P483" s="480"/>
      <c r="Q483" s="480"/>
    </row>
    <row r="484" spans="3:17">
      <c r="C484" s="685"/>
      <c r="D484" s="685"/>
      <c r="E484" s="480"/>
      <c r="F484" s="480"/>
      <c r="G484" s="480"/>
      <c r="H484" s="480"/>
      <c r="I484" s="480"/>
      <c r="J484" s="480"/>
      <c r="K484" s="480"/>
      <c r="L484" s="480"/>
      <c r="M484" s="480"/>
      <c r="N484" s="480"/>
      <c r="O484" s="480"/>
      <c r="P484" s="480"/>
      <c r="Q484" s="480"/>
    </row>
    <row r="485" spans="3:17">
      <c r="C485" s="685"/>
      <c r="D485" s="685"/>
      <c r="E485" s="480"/>
      <c r="F485" s="480"/>
      <c r="G485" s="480"/>
      <c r="H485" s="480"/>
      <c r="I485" s="480"/>
      <c r="J485" s="480"/>
      <c r="K485" s="480"/>
      <c r="L485" s="480"/>
      <c r="M485" s="480"/>
      <c r="N485" s="480"/>
      <c r="O485" s="480"/>
      <c r="P485" s="480"/>
      <c r="Q485" s="480"/>
    </row>
    <row r="486" spans="3:17">
      <c r="C486" s="685"/>
      <c r="D486" s="685"/>
      <c r="E486" s="480"/>
      <c r="F486" s="480"/>
      <c r="G486" s="480"/>
      <c r="H486" s="480"/>
      <c r="I486" s="480"/>
      <c r="J486" s="480"/>
      <c r="K486" s="480"/>
      <c r="L486" s="480"/>
      <c r="M486" s="480"/>
      <c r="N486" s="480"/>
      <c r="O486" s="480"/>
      <c r="P486" s="480"/>
      <c r="Q486" s="480"/>
    </row>
    <row r="487" spans="3:17">
      <c r="C487" s="685"/>
      <c r="D487" s="685"/>
      <c r="E487" s="480"/>
      <c r="F487" s="480"/>
      <c r="G487" s="480"/>
      <c r="H487" s="480"/>
      <c r="I487" s="480"/>
      <c r="J487" s="480"/>
      <c r="K487" s="480"/>
      <c r="L487" s="480"/>
      <c r="M487" s="480"/>
      <c r="N487" s="480"/>
      <c r="O487" s="480"/>
      <c r="P487" s="480"/>
      <c r="Q487" s="480"/>
    </row>
    <row r="488" spans="3:17">
      <c r="C488" s="685"/>
      <c r="D488" s="685"/>
      <c r="E488" s="480"/>
      <c r="F488" s="480"/>
      <c r="G488" s="480"/>
      <c r="H488" s="480"/>
      <c r="I488" s="480"/>
      <c r="J488" s="480"/>
      <c r="K488" s="480"/>
      <c r="L488" s="480"/>
      <c r="M488" s="480"/>
      <c r="N488" s="480"/>
      <c r="O488" s="480"/>
      <c r="P488" s="480"/>
      <c r="Q488" s="480"/>
    </row>
    <row r="489" spans="3:17">
      <c r="C489" s="685"/>
      <c r="D489" s="685"/>
      <c r="E489" s="480"/>
      <c r="F489" s="480"/>
      <c r="G489" s="480"/>
      <c r="H489" s="480"/>
      <c r="I489" s="480"/>
      <c r="J489" s="480"/>
      <c r="K489" s="480"/>
      <c r="L489" s="480"/>
      <c r="M489" s="480"/>
      <c r="N489" s="480"/>
      <c r="O489" s="480"/>
      <c r="P489" s="480"/>
      <c r="Q489" s="480"/>
    </row>
    <row r="490" spans="3:17">
      <c r="C490" s="685"/>
      <c r="D490" s="685"/>
      <c r="E490" s="480"/>
      <c r="F490" s="480"/>
      <c r="G490" s="480"/>
      <c r="H490" s="480"/>
      <c r="I490" s="480"/>
      <c r="J490" s="480"/>
      <c r="K490" s="480"/>
      <c r="L490" s="480"/>
      <c r="M490" s="480"/>
      <c r="N490" s="480"/>
      <c r="O490" s="480"/>
      <c r="P490" s="480"/>
      <c r="Q490" s="480"/>
    </row>
    <row r="491" spans="3:17">
      <c r="C491" s="685"/>
      <c r="D491" s="685"/>
      <c r="E491" s="480"/>
      <c r="F491" s="480"/>
      <c r="G491" s="480"/>
      <c r="H491" s="480"/>
      <c r="I491" s="480"/>
      <c r="J491" s="480"/>
      <c r="K491" s="480"/>
      <c r="L491" s="480"/>
      <c r="M491" s="480"/>
      <c r="N491" s="480"/>
      <c r="O491" s="480"/>
      <c r="P491" s="480"/>
      <c r="Q491" s="480"/>
    </row>
    <row r="492" spans="3:17">
      <c r="C492" s="685"/>
      <c r="D492" s="685"/>
      <c r="E492" s="480"/>
      <c r="F492" s="480"/>
      <c r="G492" s="480"/>
      <c r="H492" s="480"/>
      <c r="I492" s="480"/>
      <c r="J492" s="480"/>
      <c r="K492" s="480"/>
      <c r="L492" s="480"/>
      <c r="M492" s="480"/>
      <c r="N492" s="480"/>
      <c r="O492" s="480"/>
      <c r="P492" s="480"/>
      <c r="Q492" s="480"/>
    </row>
    <row r="493" spans="3:17">
      <c r="C493" s="685"/>
      <c r="D493" s="685"/>
      <c r="E493" s="480"/>
      <c r="F493" s="480"/>
      <c r="G493" s="480"/>
      <c r="H493" s="480"/>
      <c r="I493" s="480"/>
      <c r="J493" s="480"/>
      <c r="K493" s="480"/>
      <c r="L493" s="480"/>
      <c r="M493" s="480"/>
      <c r="N493" s="480"/>
      <c r="O493" s="480"/>
      <c r="P493" s="480"/>
      <c r="Q493" s="480"/>
    </row>
    <row r="494" spans="3:17">
      <c r="C494" s="685"/>
      <c r="D494" s="685"/>
      <c r="E494" s="480"/>
      <c r="F494" s="480"/>
      <c r="G494" s="480"/>
      <c r="H494" s="480"/>
      <c r="I494" s="480"/>
      <c r="J494" s="480"/>
      <c r="K494" s="480"/>
      <c r="L494" s="480"/>
      <c r="M494" s="480"/>
      <c r="N494" s="480"/>
      <c r="O494" s="480"/>
      <c r="P494" s="480"/>
      <c r="Q494" s="480"/>
    </row>
    <row r="495" spans="3:17">
      <c r="C495" s="685"/>
      <c r="D495" s="685"/>
      <c r="E495" s="480"/>
      <c r="F495" s="480"/>
      <c r="G495" s="480"/>
      <c r="H495" s="480"/>
      <c r="I495" s="480"/>
      <c r="J495" s="480"/>
      <c r="K495" s="480"/>
      <c r="L495" s="480"/>
      <c r="M495" s="480"/>
      <c r="N495" s="480"/>
      <c r="O495" s="480"/>
      <c r="P495" s="480"/>
      <c r="Q495" s="480"/>
    </row>
    <row r="496" spans="3:17">
      <c r="C496" s="685"/>
      <c r="D496" s="685"/>
      <c r="E496" s="480"/>
      <c r="F496" s="480"/>
      <c r="G496" s="480"/>
      <c r="H496" s="480"/>
      <c r="I496" s="480"/>
      <c r="J496" s="480"/>
      <c r="K496" s="480"/>
      <c r="L496" s="480"/>
      <c r="M496" s="480"/>
      <c r="N496" s="480"/>
      <c r="O496" s="480"/>
      <c r="P496" s="480"/>
      <c r="Q496" s="480"/>
    </row>
    <row r="497" spans="3:17">
      <c r="C497" s="685"/>
      <c r="D497" s="685"/>
      <c r="E497" s="480"/>
      <c r="F497" s="480"/>
      <c r="G497" s="480"/>
      <c r="H497" s="480"/>
      <c r="I497" s="480"/>
      <c r="J497" s="480"/>
      <c r="K497" s="480"/>
      <c r="L497" s="480"/>
      <c r="M497" s="480"/>
      <c r="N497" s="480"/>
      <c r="O497" s="480"/>
      <c r="P497" s="480"/>
      <c r="Q497" s="480"/>
    </row>
    <row r="498" spans="3:17">
      <c r="C498" s="685"/>
      <c r="D498" s="685"/>
      <c r="E498" s="480"/>
      <c r="F498" s="480"/>
      <c r="G498" s="480"/>
      <c r="H498" s="480"/>
      <c r="I498" s="480"/>
      <c r="J498" s="480"/>
      <c r="K498" s="480"/>
      <c r="L498" s="480"/>
      <c r="M498" s="480"/>
      <c r="N498" s="480"/>
      <c r="O498" s="480"/>
      <c r="P498" s="480"/>
      <c r="Q498" s="480"/>
    </row>
    <row r="499" spans="3:17">
      <c r="C499" s="685"/>
      <c r="D499" s="685"/>
      <c r="E499" s="480"/>
      <c r="F499" s="480"/>
      <c r="G499" s="480"/>
      <c r="H499" s="480"/>
      <c r="I499" s="480"/>
      <c r="J499" s="480"/>
      <c r="K499" s="480"/>
      <c r="L499" s="480"/>
      <c r="M499" s="480"/>
      <c r="N499" s="480"/>
      <c r="O499" s="480"/>
      <c r="P499" s="480"/>
      <c r="Q499" s="480"/>
    </row>
    <row r="500" spans="3:17">
      <c r="C500" s="685"/>
      <c r="D500" s="685"/>
      <c r="E500" s="480"/>
      <c r="F500" s="480"/>
      <c r="G500" s="480"/>
      <c r="H500" s="480"/>
      <c r="I500" s="480"/>
      <c r="J500" s="480"/>
      <c r="K500" s="480"/>
      <c r="L500" s="480"/>
      <c r="M500" s="480"/>
      <c r="N500" s="480"/>
      <c r="O500" s="480"/>
      <c r="P500" s="480"/>
      <c r="Q500" s="480"/>
    </row>
    <row r="501" spans="3:17">
      <c r="C501" s="685"/>
      <c r="D501" s="685"/>
      <c r="E501" s="480"/>
      <c r="F501" s="480"/>
      <c r="G501" s="480"/>
      <c r="H501" s="480"/>
      <c r="I501" s="480"/>
      <c r="J501" s="480"/>
      <c r="K501" s="480"/>
      <c r="L501" s="480"/>
      <c r="M501" s="480"/>
      <c r="N501" s="480"/>
      <c r="O501" s="480"/>
      <c r="P501" s="480"/>
      <c r="Q501" s="480"/>
    </row>
    <row r="502" spans="3:17">
      <c r="C502" s="685"/>
      <c r="D502" s="685"/>
      <c r="E502" s="480"/>
      <c r="F502" s="480"/>
      <c r="G502" s="480"/>
      <c r="H502" s="480"/>
      <c r="I502" s="480"/>
      <c r="J502" s="480"/>
      <c r="K502" s="480"/>
      <c r="L502" s="480"/>
      <c r="M502" s="480"/>
      <c r="N502" s="480"/>
      <c r="O502" s="480"/>
      <c r="P502" s="480"/>
      <c r="Q502" s="480"/>
    </row>
    <row r="503" spans="3:17">
      <c r="C503" s="685"/>
      <c r="D503" s="685"/>
      <c r="E503" s="480"/>
      <c r="F503" s="480"/>
      <c r="G503" s="480"/>
      <c r="H503" s="480"/>
      <c r="I503" s="480"/>
      <c r="J503" s="480"/>
      <c r="K503" s="480"/>
      <c r="L503" s="480"/>
      <c r="M503" s="480"/>
      <c r="N503" s="480"/>
      <c r="O503" s="480"/>
      <c r="P503" s="480"/>
      <c r="Q503" s="480"/>
    </row>
    <row r="504" spans="3:17">
      <c r="C504" s="685"/>
      <c r="D504" s="685"/>
      <c r="E504" s="480"/>
      <c r="F504" s="480"/>
      <c r="G504" s="480"/>
      <c r="H504" s="480"/>
      <c r="I504" s="480"/>
      <c r="J504" s="480"/>
      <c r="K504" s="480"/>
      <c r="L504" s="480"/>
      <c r="M504" s="480"/>
      <c r="N504" s="480"/>
      <c r="O504" s="480"/>
      <c r="P504" s="480"/>
      <c r="Q504" s="480"/>
    </row>
    <row r="505" spans="3:17">
      <c r="C505" s="685"/>
      <c r="D505" s="685"/>
      <c r="E505" s="480"/>
      <c r="F505" s="480"/>
      <c r="G505" s="480"/>
      <c r="H505" s="480"/>
      <c r="I505" s="480"/>
      <c r="J505" s="480"/>
      <c r="K505" s="480"/>
      <c r="L505" s="480"/>
      <c r="M505" s="480"/>
      <c r="N505" s="480"/>
      <c r="O505" s="480"/>
      <c r="P505" s="480"/>
      <c r="Q505" s="480"/>
    </row>
    <row r="506" spans="3:17">
      <c r="C506" s="685"/>
      <c r="D506" s="685"/>
      <c r="E506" s="480"/>
      <c r="F506" s="480"/>
      <c r="G506" s="480"/>
      <c r="H506" s="480"/>
      <c r="I506" s="480"/>
      <c r="J506" s="480"/>
      <c r="K506" s="480"/>
      <c r="L506" s="480"/>
      <c r="M506" s="480"/>
      <c r="N506" s="480"/>
      <c r="O506" s="480"/>
      <c r="P506" s="480"/>
      <c r="Q506" s="480"/>
    </row>
    <row r="507" spans="3:17">
      <c r="C507" s="685"/>
      <c r="D507" s="685"/>
      <c r="E507" s="480"/>
      <c r="F507" s="480"/>
      <c r="G507" s="480"/>
      <c r="H507" s="480"/>
      <c r="I507" s="480"/>
      <c r="J507" s="480"/>
      <c r="K507" s="480"/>
      <c r="L507" s="480"/>
      <c r="M507" s="480"/>
      <c r="N507" s="480"/>
      <c r="O507" s="480"/>
      <c r="P507" s="480"/>
      <c r="Q507" s="480"/>
    </row>
    <row r="508" spans="3:17">
      <c r="C508" s="685"/>
      <c r="D508" s="685"/>
      <c r="E508" s="480"/>
      <c r="F508" s="480"/>
      <c r="G508" s="480"/>
      <c r="H508" s="480"/>
      <c r="I508" s="480"/>
      <c r="J508" s="480"/>
      <c r="K508" s="480"/>
      <c r="L508" s="480"/>
      <c r="M508" s="480"/>
      <c r="N508" s="480"/>
      <c r="O508" s="480"/>
      <c r="P508" s="480"/>
      <c r="Q508" s="480"/>
    </row>
    <row r="509" spans="3:17">
      <c r="C509" s="685"/>
      <c r="D509" s="685"/>
      <c r="E509" s="480"/>
      <c r="F509" s="480"/>
      <c r="G509" s="480"/>
      <c r="H509" s="480"/>
      <c r="I509" s="480"/>
      <c r="J509" s="480"/>
      <c r="K509" s="480"/>
      <c r="L509" s="480"/>
      <c r="M509" s="480"/>
      <c r="N509" s="480"/>
      <c r="O509" s="480"/>
      <c r="P509" s="480"/>
      <c r="Q509" s="480"/>
    </row>
    <row r="510" spans="3:17">
      <c r="C510" s="685"/>
      <c r="D510" s="685"/>
      <c r="E510" s="480"/>
      <c r="F510" s="480"/>
      <c r="G510" s="480"/>
      <c r="H510" s="480"/>
      <c r="I510" s="480"/>
      <c r="J510" s="480"/>
      <c r="K510" s="480"/>
      <c r="L510" s="480"/>
      <c r="M510" s="480"/>
      <c r="N510" s="480"/>
      <c r="O510" s="480"/>
      <c r="P510" s="480"/>
      <c r="Q510" s="480"/>
    </row>
    <row r="511" spans="3:17">
      <c r="C511" s="685"/>
      <c r="D511" s="685"/>
      <c r="E511" s="480"/>
      <c r="F511" s="480"/>
      <c r="G511" s="480"/>
      <c r="H511" s="480"/>
      <c r="I511" s="480"/>
      <c r="J511" s="480"/>
      <c r="K511" s="480"/>
      <c r="L511" s="480"/>
      <c r="M511" s="480"/>
      <c r="N511" s="480"/>
      <c r="O511" s="480"/>
      <c r="P511" s="480"/>
      <c r="Q511" s="480"/>
    </row>
    <row r="512" spans="3:17">
      <c r="C512" s="685"/>
      <c r="D512" s="685"/>
      <c r="E512" s="480"/>
      <c r="F512" s="480"/>
      <c r="G512" s="480"/>
      <c r="H512" s="480"/>
      <c r="I512" s="480"/>
      <c r="J512" s="480"/>
      <c r="K512" s="480"/>
      <c r="L512" s="480"/>
      <c r="M512" s="480"/>
      <c r="N512" s="480"/>
      <c r="O512" s="480"/>
      <c r="P512" s="480"/>
      <c r="Q512" s="480"/>
    </row>
    <row r="513" spans="3:17">
      <c r="C513" s="685"/>
      <c r="D513" s="685"/>
      <c r="E513" s="480"/>
      <c r="F513" s="480"/>
      <c r="G513" s="480"/>
      <c r="H513" s="480"/>
      <c r="I513" s="480"/>
      <c r="J513" s="480"/>
      <c r="K513" s="480"/>
      <c r="L513" s="480"/>
      <c r="M513" s="480"/>
      <c r="N513" s="480"/>
      <c r="O513" s="480"/>
      <c r="P513" s="480"/>
      <c r="Q513" s="480"/>
    </row>
    <row r="514" spans="3:17">
      <c r="C514" s="685"/>
      <c r="D514" s="685"/>
      <c r="E514" s="480"/>
      <c r="F514" s="480"/>
      <c r="G514" s="480"/>
      <c r="H514" s="480"/>
      <c r="I514" s="480"/>
      <c r="J514" s="480"/>
      <c r="K514" s="480"/>
      <c r="L514" s="480"/>
      <c r="M514" s="480"/>
      <c r="N514" s="480"/>
      <c r="O514" s="480"/>
      <c r="P514" s="480"/>
      <c r="Q514" s="480"/>
    </row>
    <row r="515" spans="3:17">
      <c r="C515" s="685"/>
      <c r="D515" s="685"/>
      <c r="E515" s="480"/>
      <c r="F515" s="480"/>
      <c r="G515" s="480"/>
      <c r="H515" s="480"/>
      <c r="I515" s="480"/>
      <c r="J515" s="480"/>
      <c r="K515" s="480"/>
      <c r="L515" s="480"/>
      <c r="M515" s="480"/>
      <c r="N515" s="480"/>
      <c r="O515" s="480"/>
      <c r="P515" s="480"/>
      <c r="Q515" s="480"/>
    </row>
    <row r="516" spans="3:17">
      <c r="C516" s="685"/>
      <c r="D516" s="685"/>
      <c r="E516" s="480"/>
      <c r="F516" s="480"/>
      <c r="G516" s="480"/>
      <c r="H516" s="480"/>
      <c r="I516" s="480"/>
      <c r="J516" s="480"/>
      <c r="K516" s="480"/>
      <c r="L516" s="480"/>
      <c r="M516" s="480"/>
      <c r="N516" s="480"/>
      <c r="O516" s="480"/>
      <c r="P516" s="480"/>
      <c r="Q516" s="480"/>
    </row>
    <row r="517" spans="3:17">
      <c r="C517" s="685"/>
      <c r="D517" s="685"/>
      <c r="E517" s="480"/>
      <c r="F517" s="480"/>
      <c r="G517" s="480"/>
      <c r="H517" s="480"/>
      <c r="I517" s="480"/>
      <c r="J517" s="480"/>
      <c r="K517" s="480"/>
      <c r="L517" s="480"/>
      <c r="M517" s="480"/>
      <c r="N517" s="480"/>
      <c r="O517" s="480"/>
      <c r="P517" s="480"/>
      <c r="Q517" s="480"/>
    </row>
    <row r="518" spans="3:17">
      <c r="C518" s="685"/>
      <c r="D518" s="685"/>
      <c r="E518" s="480"/>
      <c r="F518" s="480"/>
      <c r="G518" s="480"/>
      <c r="H518" s="480"/>
      <c r="I518" s="480"/>
      <c r="J518" s="480"/>
      <c r="K518" s="480"/>
      <c r="L518" s="480"/>
      <c r="M518" s="480"/>
      <c r="N518" s="480"/>
      <c r="O518" s="480"/>
      <c r="P518" s="480"/>
      <c r="Q518" s="480"/>
    </row>
    <row r="519" spans="3:17">
      <c r="C519" s="685"/>
      <c r="D519" s="685"/>
      <c r="E519" s="480"/>
      <c r="F519" s="480"/>
      <c r="G519" s="480"/>
      <c r="H519" s="480"/>
      <c r="I519" s="480"/>
      <c r="J519" s="480"/>
      <c r="K519" s="480"/>
      <c r="L519" s="480"/>
      <c r="M519" s="480"/>
      <c r="N519" s="480"/>
      <c r="O519" s="480"/>
      <c r="P519" s="480"/>
      <c r="Q519" s="480"/>
    </row>
    <row r="520" spans="3:17">
      <c r="C520" s="685"/>
      <c r="D520" s="685"/>
      <c r="E520" s="480"/>
      <c r="F520" s="480"/>
      <c r="G520" s="480"/>
      <c r="H520" s="480"/>
      <c r="I520" s="480"/>
      <c r="J520" s="480"/>
      <c r="K520" s="480"/>
      <c r="L520" s="480"/>
      <c r="M520" s="480"/>
      <c r="N520" s="480"/>
      <c r="O520" s="480"/>
      <c r="P520" s="480"/>
      <c r="Q520" s="480"/>
    </row>
    <row r="521" spans="3:17">
      <c r="C521" s="685"/>
      <c r="D521" s="685"/>
      <c r="E521" s="480"/>
      <c r="F521" s="480"/>
      <c r="G521" s="480"/>
      <c r="H521" s="480"/>
      <c r="I521" s="480"/>
      <c r="J521" s="480"/>
      <c r="K521" s="480"/>
      <c r="L521" s="480"/>
      <c r="M521" s="480"/>
      <c r="N521" s="480"/>
      <c r="O521" s="480"/>
      <c r="P521" s="480"/>
      <c r="Q521" s="480"/>
    </row>
    <row r="522" spans="3:17">
      <c r="C522" s="685"/>
      <c r="D522" s="685"/>
      <c r="E522" s="480"/>
      <c r="F522" s="480"/>
      <c r="G522" s="480"/>
      <c r="H522" s="480"/>
      <c r="I522" s="480"/>
      <c r="J522" s="480"/>
      <c r="K522" s="480"/>
      <c r="L522" s="480"/>
      <c r="M522" s="480"/>
      <c r="N522" s="480"/>
      <c r="O522" s="480"/>
      <c r="P522" s="480"/>
      <c r="Q522" s="480"/>
    </row>
    <row r="523" spans="3:17">
      <c r="C523" s="685"/>
      <c r="D523" s="685"/>
      <c r="E523" s="480"/>
      <c r="F523" s="480"/>
      <c r="G523" s="480"/>
      <c r="H523" s="480"/>
      <c r="I523" s="480"/>
      <c r="J523" s="480"/>
      <c r="K523" s="480"/>
      <c r="L523" s="480"/>
      <c r="M523" s="480"/>
      <c r="N523" s="480"/>
      <c r="O523" s="480"/>
      <c r="P523" s="480"/>
      <c r="Q523" s="480"/>
    </row>
    <row r="524" spans="3:17">
      <c r="C524" s="685"/>
      <c r="D524" s="685"/>
      <c r="E524" s="480"/>
      <c r="F524" s="480"/>
      <c r="G524" s="480"/>
      <c r="H524" s="480"/>
      <c r="I524" s="480"/>
      <c r="J524" s="480"/>
      <c r="K524" s="480"/>
      <c r="L524" s="480"/>
      <c r="M524" s="480"/>
      <c r="N524" s="480"/>
      <c r="O524" s="480"/>
      <c r="P524" s="480"/>
      <c r="Q524" s="480"/>
    </row>
    <row r="525" spans="3:17">
      <c r="C525" s="685"/>
      <c r="D525" s="685"/>
      <c r="E525" s="480"/>
      <c r="F525" s="480"/>
      <c r="G525" s="480"/>
      <c r="H525" s="480"/>
      <c r="I525" s="480"/>
      <c r="J525" s="480"/>
      <c r="K525" s="480"/>
      <c r="L525" s="480"/>
      <c r="M525" s="480"/>
      <c r="N525" s="480"/>
      <c r="O525" s="480"/>
      <c r="P525" s="480"/>
      <c r="Q525" s="480"/>
    </row>
    <row r="526" spans="3:17">
      <c r="C526" s="685"/>
      <c r="D526" s="685"/>
      <c r="E526" s="480"/>
      <c r="F526" s="480"/>
      <c r="G526" s="480"/>
      <c r="H526" s="480"/>
      <c r="I526" s="480"/>
      <c r="J526" s="480"/>
      <c r="K526" s="480"/>
      <c r="L526" s="480"/>
      <c r="M526" s="480"/>
      <c r="N526" s="480"/>
      <c r="O526" s="480"/>
      <c r="P526" s="480"/>
      <c r="Q526" s="480"/>
    </row>
    <row r="527" spans="3:17">
      <c r="C527" s="685"/>
      <c r="D527" s="685"/>
      <c r="E527" s="480"/>
      <c r="F527" s="480"/>
      <c r="G527" s="480"/>
      <c r="H527" s="480"/>
      <c r="I527" s="480"/>
      <c r="J527" s="480"/>
      <c r="K527" s="480"/>
      <c r="L527" s="480"/>
      <c r="M527" s="480"/>
      <c r="N527" s="480"/>
      <c r="O527" s="480"/>
      <c r="P527" s="480"/>
      <c r="Q527" s="480"/>
    </row>
    <row r="528" spans="3:17">
      <c r="C528" s="685"/>
      <c r="D528" s="685"/>
      <c r="E528" s="480"/>
      <c r="F528" s="480"/>
      <c r="G528" s="480"/>
      <c r="H528" s="480"/>
      <c r="I528" s="480"/>
      <c r="J528" s="480"/>
      <c r="K528" s="480"/>
      <c r="L528" s="480"/>
      <c r="M528" s="480"/>
      <c r="N528" s="480"/>
      <c r="O528" s="480"/>
      <c r="P528" s="480"/>
      <c r="Q528" s="480"/>
    </row>
    <row r="529" spans="3:17">
      <c r="C529" s="685"/>
      <c r="D529" s="685"/>
      <c r="E529" s="480"/>
      <c r="F529" s="480"/>
      <c r="G529" s="480"/>
      <c r="H529" s="480"/>
      <c r="I529" s="480"/>
      <c r="J529" s="480"/>
      <c r="K529" s="480"/>
      <c r="L529" s="480"/>
      <c r="M529" s="480"/>
      <c r="N529" s="480"/>
      <c r="O529" s="480"/>
      <c r="P529" s="480"/>
      <c r="Q529" s="480"/>
    </row>
    <row r="530" spans="3:17">
      <c r="C530" s="685"/>
      <c r="D530" s="685"/>
      <c r="E530" s="480"/>
      <c r="F530" s="480"/>
      <c r="G530" s="480"/>
      <c r="H530" s="480"/>
      <c r="I530" s="480"/>
      <c r="J530" s="480"/>
      <c r="K530" s="480"/>
      <c r="L530" s="480"/>
      <c r="M530" s="480"/>
      <c r="N530" s="480"/>
      <c r="O530" s="480"/>
      <c r="P530" s="480"/>
      <c r="Q530" s="480"/>
    </row>
    <row r="531" spans="3:17">
      <c r="C531" s="685"/>
      <c r="D531" s="685"/>
      <c r="E531" s="480"/>
      <c r="F531" s="480"/>
      <c r="G531" s="480"/>
      <c r="H531" s="480"/>
      <c r="I531" s="480"/>
      <c r="J531" s="480"/>
      <c r="K531" s="480"/>
      <c r="L531" s="480"/>
      <c r="M531" s="480"/>
      <c r="N531" s="480"/>
      <c r="O531" s="480"/>
      <c r="P531" s="480"/>
      <c r="Q531" s="480"/>
    </row>
    <row r="532" spans="3:17">
      <c r="C532" s="685"/>
      <c r="D532" s="685"/>
      <c r="E532" s="480"/>
      <c r="F532" s="480"/>
      <c r="G532" s="480"/>
      <c r="H532" s="480"/>
      <c r="I532" s="480"/>
      <c r="J532" s="480"/>
      <c r="K532" s="480"/>
      <c r="L532" s="480"/>
      <c r="M532" s="480"/>
      <c r="N532" s="480"/>
      <c r="O532" s="480"/>
      <c r="P532" s="480"/>
      <c r="Q532" s="480"/>
    </row>
    <row r="533" spans="3:17">
      <c r="C533" s="685"/>
      <c r="D533" s="685"/>
      <c r="E533" s="480"/>
      <c r="F533" s="480"/>
      <c r="G533" s="480"/>
      <c r="H533" s="480"/>
      <c r="I533" s="480"/>
      <c r="J533" s="480"/>
      <c r="K533" s="480"/>
      <c r="L533" s="480"/>
      <c r="M533" s="480"/>
      <c r="N533" s="480"/>
      <c r="O533" s="480"/>
      <c r="P533" s="480"/>
      <c r="Q533" s="480"/>
    </row>
    <row r="534" spans="3:17">
      <c r="C534" s="685"/>
      <c r="D534" s="685"/>
      <c r="E534" s="480"/>
      <c r="F534" s="480"/>
      <c r="G534" s="480"/>
      <c r="H534" s="480"/>
      <c r="I534" s="480"/>
      <c r="J534" s="480"/>
      <c r="K534" s="480"/>
      <c r="L534" s="480"/>
      <c r="M534" s="480"/>
      <c r="N534" s="480"/>
      <c r="O534" s="480"/>
      <c r="P534" s="480"/>
      <c r="Q534" s="480"/>
    </row>
    <row r="535" spans="3:17">
      <c r="C535" s="685"/>
      <c r="D535" s="685"/>
      <c r="E535" s="480"/>
      <c r="F535" s="480"/>
      <c r="G535" s="480"/>
      <c r="H535" s="480"/>
      <c r="I535" s="480"/>
      <c r="J535" s="480"/>
      <c r="K535" s="480"/>
      <c r="L535" s="480"/>
      <c r="M535" s="480"/>
      <c r="N535" s="480"/>
      <c r="O535" s="480"/>
      <c r="P535" s="480"/>
      <c r="Q535" s="480"/>
    </row>
    <row r="536" spans="3:17">
      <c r="C536" s="685"/>
      <c r="D536" s="685"/>
      <c r="E536" s="480"/>
      <c r="F536" s="480"/>
      <c r="G536" s="480"/>
      <c r="H536" s="480"/>
      <c r="I536" s="480"/>
      <c r="J536" s="480"/>
      <c r="K536" s="480"/>
      <c r="L536" s="480"/>
      <c r="M536" s="480"/>
      <c r="N536" s="480"/>
      <c r="O536" s="480"/>
      <c r="P536" s="480"/>
      <c r="Q536" s="480"/>
    </row>
    <row r="537" spans="3:17">
      <c r="C537" s="685"/>
      <c r="D537" s="685"/>
      <c r="E537" s="480"/>
      <c r="F537" s="480"/>
      <c r="G537" s="480"/>
      <c r="H537" s="480"/>
      <c r="I537" s="480"/>
      <c r="J537" s="480"/>
      <c r="K537" s="480"/>
      <c r="L537" s="480"/>
      <c r="M537" s="480"/>
      <c r="N537" s="480"/>
      <c r="O537" s="480"/>
      <c r="P537" s="480"/>
      <c r="Q537" s="480"/>
    </row>
    <row r="538" spans="3:17">
      <c r="C538" s="685"/>
      <c r="D538" s="685"/>
      <c r="E538" s="480"/>
      <c r="F538" s="480"/>
      <c r="G538" s="480"/>
      <c r="H538" s="480"/>
      <c r="I538" s="480"/>
      <c r="J538" s="480"/>
      <c r="K538" s="480"/>
      <c r="L538" s="480"/>
      <c r="M538" s="480"/>
      <c r="N538" s="480"/>
      <c r="O538" s="480"/>
      <c r="P538" s="480"/>
      <c r="Q538" s="480"/>
    </row>
    <row r="539" spans="3:17">
      <c r="C539" s="685"/>
      <c r="D539" s="685"/>
      <c r="E539" s="480"/>
      <c r="F539" s="480"/>
      <c r="G539" s="480"/>
      <c r="H539" s="480"/>
      <c r="I539" s="480"/>
      <c r="J539" s="480"/>
      <c r="K539" s="480"/>
      <c r="L539" s="480"/>
      <c r="M539" s="480"/>
      <c r="N539" s="480"/>
      <c r="O539" s="480"/>
      <c r="P539" s="480"/>
      <c r="Q539" s="480"/>
    </row>
    <row r="540" spans="3:17">
      <c r="C540" s="685"/>
      <c r="D540" s="685"/>
      <c r="E540" s="480"/>
      <c r="F540" s="480"/>
      <c r="G540" s="480"/>
      <c r="H540" s="480"/>
      <c r="I540" s="480"/>
      <c r="J540" s="480"/>
      <c r="K540" s="480"/>
      <c r="L540" s="480"/>
      <c r="M540" s="480"/>
      <c r="N540" s="480"/>
      <c r="O540" s="480"/>
      <c r="P540" s="480"/>
      <c r="Q540" s="480"/>
    </row>
    <row r="541" spans="3:17">
      <c r="C541" s="685"/>
      <c r="D541" s="685"/>
      <c r="E541" s="480"/>
      <c r="F541" s="480"/>
      <c r="G541" s="480"/>
      <c r="H541" s="480"/>
      <c r="I541" s="480"/>
      <c r="J541" s="480"/>
      <c r="K541" s="480"/>
      <c r="L541" s="480"/>
      <c r="M541" s="480"/>
      <c r="N541" s="480"/>
      <c r="O541" s="480"/>
      <c r="P541" s="480"/>
      <c r="Q541" s="480"/>
    </row>
    <row r="542" spans="3:17">
      <c r="C542" s="685"/>
      <c r="D542" s="685"/>
      <c r="E542" s="480"/>
      <c r="F542" s="480"/>
      <c r="G542" s="480"/>
      <c r="H542" s="480"/>
      <c r="I542" s="480"/>
      <c r="J542" s="480"/>
      <c r="K542" s="480"/>
      <c r="L542" s="480"/>
      <c r="M542" s="480"/>
      <c r="N542" s="480"/>
      <c r="O542" s="480"/>
      <c r="P542" s="480"/>
      <c r="Q542" s="480"/>
    </row>
    <row r="543" spans="3:17">
      <c r="C543" s="685"/>
      <c r="D543" s="685"/>
      <c r="E543" s="480"/>
      <c r="F543" s="480"/>
      <c r="G543" s="480"/>
      <c r="H543" s="480"/>
      <c r="I543" s="480"/>
      <c r="J543" s="480"/>
      <c r="K543" s="480"/>
      <c r="L543" s="480"/>
      <c r="M543" s="480"/>
      <c r="N543" s="480"/>
      <c r="O543" s="480"/>
      <c r="P543" s="480"/>
      <c r="Q543" s="480"/>
    </row>
    <row r="544" spans="3:17">
      <c r="C544" s="685"/>
      <c r="D544" s="685"/>
      <c r="E544" s="480"/>
      <c r="F544" s="480"/>
      <c r="G544" s="480"/>
      <c r="H544" s="480"/>
      <c r="I544" s="480"/>
      <c r="J544" s="480"/>
      <c r="K544" s="480"/>
      <c r="L544" s="480"/>
      <c r="M544" s="480"/>
      <c r="N544" s="480"/>
      <c r="O544" s="480"/>
      <c r="P544" s="480"/>
      <c r="Q544" s="480"/>
    </row>
    <row r="545" spans="3:17">
      <c r="C545" s="685"/>
      <c r="D545" s="685"/>
      <c r="E545" s="480"/>
      <c r="F545" s="480"/>
      <c r="G545" s="480"/>
      <c r="H545" s="480"/>
      <c r="I545" s="480"/>
      <c r="J545" s="480"/>
      <c r="K545" s="480"/>
      <c r="L545" s="480"/>
      <c r="M545" s="480"/>
      <c r="N545" s="480"/>
      <c r="O545" s="480"/>
      <c r="P545" s="480"/>
      <c r="Q545" s="480"/>
    </row>
    <row r="546" spans="3:17">
      <c r="C546" s="685"/>
      <c r="D546" s="685"/>
      <c r="E546" s="480"/>
      <c r="F546" s="480"/>
      <c r="G546" s="480"/>
      <c r="H546" s="480"/>
      <c r="I546" s="480"/>
      <c r="J546" s="480"/>
      <c r="K546" s="480"/>
      <c r="L546" s="480"/>
      <c r="M546" s="480"/>
      <c r="N546" s="480"/>
      <c r="O546" s="480"/>
      <c r="P546" s="480"/>
      <c r="Q546" s="480"/>
    </row>
    <row r="547" spans="3:17">
      <c r="C547" s="685"/>
      <c r="D547" s="685"/>
      <c r="E547" s="480"/>
      <c r="F547" s="480"/>
      <c r="G547" s="480"/>
      <c r="H547" s="480"/>
      <c r="I547" s="480"/>
      <c r="J547" s="480"/>
      <c r="K547" s="480"/>
      <c r="L547" s="480"/>
      <c r="M547" s="480"/>
      <c r="N547" s="480"/>
      <c r="O547" s="480"/>
      <c r="P547" s="480"/>
      <c r="Q547" s="480"/>
    </row>
    <row r="548" spans="3:17">
      <c r="C548" s="685"/>
      <c r="D548" s="685"/>
      <c r="E548" s="480"/>
      <c r="F548" s="480"/>
      <c r="G548" s="480"/>
      <c r="H548" s="480"/>
      <c r="I548" s="480"/>
      <c r="J548" s="480"/>
      <c r="K548" s="480"/>
      <c r="L548" s="480"/>
      <c r="M548" s="480"/>
      <c r="N548" s="480"/>
      <c r="O548" s="480"/>
      <c r="P548" s="480"/>
      <c r="Q548" s="480"/>
    </row>
    <row r="549" spans="3:17">
      <c r="C549" s="685"/>
      <c r="D549" s="685"/>
      <c r="E549" s="480"/>
      <c r="F549" s="480"/>
      <c r="G549" s="480"/>
      <c r="H549" s="480"/>
      <c r="I549" s="480"/>
      <c r="J549" s="480"/>
      <c r="K549" s="480"/>
      <c r="L549" s="480"/>
      <c r="M549" s="480"/>
      <c r="N549" s="480"/>
      <c r="O549" s="480"/>
      <c r="P549" s="480"/>
      <c r="Q549" s="480"/>
    </row>
    <row r="550" spans="3:17">
      <c r="C550" s="685"/>
      <c r="D550" s="685"/>
      <c r="E550" s="480"/>
      <c r="F550" s="480"/>
      <c r="G550" s="480"/>
      <c r="H550" s="480"/>
      <c r="I550" s="480"/>
      <c r="J550" s="480"/>
      <c r="K550" s="480"/>
      <c r="L550" s="480"/>
      <c r="M550" s="480"/>
      <c r="N550" s="480"/>
      <c r="O550" s="480"/>
      <c r="P550" s="480"/>
      <c r="Q550" s="480"/>
    </row>
    <row r="551" spans="3:17">
      <c r="C551" s="685"/>
      <c r="D551" s="685"/>
      <c r="E551" s="480"/>
      <c r="F551" s="480"/>
      <c r="G551" s="480"/>
      <c r="H551" s="480"/>
      <c r="I551" s="480"/>
      <c r="J551" s="480"/>
      <c r="K551" s="480"/>
      <c r="L551" s="480"/>
      <c r="M551" s="480"/>
      <c r="N551" s="480"/>
      <c r="O551" s="480"/>
      <c r="P551" s="480"/>
      <c r="Q551" s="480"/>
    </row>
    <row r="552" spans="3:17">
      <c r="C552" s="685"/>
      <c r="D552" s="685"/>
      <c r="E552" s="480"/>
      <c r="F552" s="480"/>
      <c r="G552" s="480"/>
      <c r="H552" s="480"/>
      <c r="I552" s="480"/>
      <c r="J552" s="480"/>
      <c r="K552" s="480"/>
      <c r="L552" s="480"/>
      <c r="M552" s="480"/>
      <c r="N552" s="480"/>
      <c r="O552" s="480"/>
      <c r="P552" s="480"/>
      <c r="Q552" s="480"/>
    </row>
    <row r="553" spans="3:17">
      <c r="C553" s="685"/>
      <c r="D553" s="685"/>
      <c r="E553" s="480"/>
      <c r="F553" s="480"/>
      <c r="G553" s="480"/>
      <c r="H553" s="480"/>
      <c r="I553" s="480"/>
      <c r="J553" s="480"/>
      <c r="K553" s="480"/>
      <c r="L553" s="480"/>
      <c r="M553" s="480"/>
      <c r="N553" s="480"/>
      <c r="O553" s="480"/>
      <c r="P553" s="480"/>
      <c r="Q553" s="480"/>
    </row>
    <row r="554" spans="3:17">
      <c r="C554" s="685"/>
      <c r="D554" s="685"/>
      <c r="E554" s="480"/>
      <c r="F554" s="480"/>
      <c r="G554" s="480"/>
      <c r="H554" s="480"/>
      <c r="I554" s="480"/>
      <c r="J554" s="480"/>
      <c r="K554" s="480"/>
      <c r="L554" s="480"/>
      <c r="M554" s="480"/>
      <c r="N554" s="480"/>
      <c r="O554" s="480"/>
      <c r="P554" s="480"/>
      <c r="Q554" s="480"/>
    </row>
    <row r="555" spans="3:17">
      <c r="C555" s="685"/>
      <c r="D555" s="685"/>
      <c r="E555" s="480"/>
      <c r="F555" s="480"/>
      <c r="G555" s="480"/>
      <c r="H555" s="480"/>
      <c r="I555" s="480"/>
      <c r="J555" s="480"/>
      <c r="K555" s="480"/>
      <c r="L555" s="480"/>
      <c r="M555" s="480"/>
      <c r="N555" s="480"/>
      <c r="O555" s="480"/>
      <c r="P555" s="480"/>
      <c r="Q555" s="480"/>
    </row>
    <row r="556" spans="3:17">
      <c r="C556" s="685"/>
      <c r="D556" s="685"/>
      <c r="E556" s="480"/>
      <c r="F556" s="480"/>
      <c r="G556" s="480"/>
      <c r="H556" s="480"/>
      <c r="I556" s="480"/>
      <c r="J556" s="480"/>
      <c r="K556" s="480"/>
      <c r="L556" s="480"/>
      <c r="M556" s="480"/>
      <c r="N556" s="480"/>
      <c r="O556" s="480"/>
      <c r="P556" s="480"/>
      <c r="Q556" s="480"/>
    </row>
    <row r="557" spans="3:17">
      <c r="C557" s="685"/>
      <c r="D557" s="685"/>
      <c r="E557" s="480"/>
      <c r="F557" s="480"/>
      <c r="G557" s="480"/>
      <c r="H557" s="480"/>
      <c r="I557" s="480"/>
      <c r="J557" s="480"/>
      <c r="K557" s="480"/>
      <c r="L557" s="480"/>
      <c r="M557" s="480"/>
      <c r="N557" s="480"/>
      <c r="O557" s="480"/>
      <c r="P557" s="480"/>
      <c r="Q557" s="480"/>
    </row>
    <row r="558" spans="3:17">
      <c r="C558" s="685"/>
      <c r="D558" s="685"/>
      <c r="E558" s="480"/>
      <c r="F558" s="480"/>
      <c r="G558" s="480"/>
      <c r="H558" s="480"/>
      <c r="I558" s="480"/>
      <c r="J558" s="480"/>
      <c r="K558" s="480"/>
      <c r="L558" s="480"/>
      <c r="M558" s="480"/>
      <c r="N558" s="480"/>
      <c r="O558" s="480"/>
      <c r="P558" s="480"/>
      <c r="Q558" s="480"/>
    </row>
    <row r="559" spans="3:17">
      <c r="C559" s="685"/>
      <c r="D559" s="685"/>
      <c r="E559" s="480"/>
      <c r="F559" s="480"/>
      <c r="G559" s="480"/>
      <c r="H559" s="480"/>
      <c r="I559" s="480"/>
      <c r="J559" s="480"/>
      <c r="K559" s="480"/>
      <c r="L559" s="480"/>
      <c r="M559" s="480"/>
      <c r="N559" s="480"/>
      <c r="O559" s="480"/>
      <c r="P559" s="480"/>
      <c r="Q559" s="480"/>
    </row>
    <row r="560" spans="3:17">
      <c r="C560" s="685"/>
      <c r="D560" s="685"/>
      <c r="E560" s="480"/>
      <c r="F560" s="480"/>
      <c r="G560" s="480"/>
      <c r="H560" s="480"/>
      <c r="I560" s="480"/>
      <c r="J560" s="480"/>
      <c r="K560" s="480"/>
      <c r="L560" s="480"/>
      <c r="M560" s="480"/>
      <c r="N560" s="480"/>
      <c r="O560" s="480"/>
      <c r="P560" s="480"/>
      <c r="Q560" s="480"/>
    </row>
    <row r="561" spans="3:17">
      <c r="C561" s="685"/>
      <c r="D561" s="685"/>
      <c r="E561" s="480"/>
      <c r="F561" s="480"/>
      <c r="G561" s="480"/>
      <c r="H561" s="480"/>
      <c r="I561" s="480"/>
      <c r="J561" s="480"/>
      <c r="K561" s="480"/>
      <c r="L561" s="480"/>
      <c r="M561" s="480"/>
      <c r="N561" s="480"/>
      <c r="O561" s="480"/>
      <c r="P561" s="480"/>
      <c r="Q561" s="480"/>
    </row>
    <row r="562" spans="3:17">
      <c r="C562" s="685"/>
      <c r="D562" s="685"/>
      <c r="E562" s="480"/>
      <c r="F562" s="480"/>
      <c r="G562" s="480"/>
      <c r="H562" s="480"/>
      <c r="I562" s="480"/>
      <c r="J562" s="480"/>
      <c r="K562" s="480"/>
      <c r="L562" s="480"/>
      <c r="M562" s="480"/>
      <c r="N562" s="480"/>
      <c r="O562" s="480"/>
      <c r="P562" s="480"/>
      <c r="Q562" s="480"/>
    </row>
    <row r="563" spans="3:17">
      <c r="C563" s="685"/>
      <c r="D563" s="685"/>
      <c r="E563" s="480"/>
      <c r="F563" s="480"/>
      <c r="G563" s="480"/>
      <c r="H563" s="480"/>
      <c r="I563" s="480"/>
      <c r="J563" s="480"/>
      <c r="K563" s="480"/>
      <c r="L563" s="480"/>
      <c r="M563" s="480"/>
      <c r="N563" s="480"/>
      <c r="O563" s="480"/>
      <c r="P563" s="480"/>
      <c r="Q563" s="480"/>
    </row>
    <row r="564" spans="3:17">
      <c r="C564" s="685"/>
      <c r="D564" s="685"/>
      <c r="E564" s="480"/>
      <c r="F564" s="480"/>
      <c r="G564" s="480"/>
      <c r="H564" s="480"/>
      <c r="I564" s="480"/>
      <c r="J564" s="480"/>
      <c r="K564" s="480"/>
      <c r="L564" s="480"/>
      <c r="M564" s="480"/>
      <c r="N564" s="480"/>
      <c r="O564" s="480"/>
      <c r="P564" s="480"/>
      <c r="Q564" s="480"/>
    </row>
    <row r="565" spans="3:17">
      <c r="C565" s="685"/>
      <c r="D565" s="685"/>
      <c r="E565" s="480"/>
      <c r="F565" s="480"/>
      <c r="G565" s="480"/>
      <c r="H565" s="480"/>
      <c r="I565" s="480"/>
      <c r="J565" s="480"/>
      <c r="K565" s="480"/>
      <c r="L565" s="480"/>
      <c r="M565" s="480"/>
      <c r="N565" s="480"/>
      <c r="O565" s="480"/>
      <c r="P565" s="480"/>
      <c r="Q565" s="480"/>
    </row>
    <row r="566" spans="3:17">
      <c r="C566" s="685"/>
      <c r="D566" s="685"/>
      <c r="E566" s="480"/>
      <c r="F566" s="480"/>
      <c r="G566" s="480"/>
      <c r="H566" s="480"/>
      <c r="I566" s="480"/>
      <c r="J566" s="480"/>
      <c r="K566" s="480"/>
      <c r="L566" s="480"/>
      <c r="M566" s="480"/>
      <c r="N566" s="480"/>
      <c r="O566" s="480"/>
      <c r="P566" s="480"/>
      <c r="Q566" s="480"/>
    </row>
    <row r="567" spans="3:17">
      <c r="C567" s="685"/>
      <c r="D567" s="685"/>
      <c r="E567" s="480"/>
      <c r="F567" s="480"/>
      <c r="G567" s="480"/>
      <c r="H567" s="480"/>
      <c r="I567" s="480"/>
      <c r="J567" s="480"/>
      <c r="K567" s="480"/>
      <c r="L567" s="480"/>
      <c r="M567" s="480"/>
      <c r="N567" s="480"/>
      <c r="O567" s="480"/>
      <c r="P567" s="480"/>
      <c r="Q567" s="480"/>
    </row>
    <row r="568" spans="3:17">
      <c r="C568" s="685"/>
      <c r="D568" s="685"/>
      <c r="E568" s="480"/>
      <c r="F568" s="480"/>
      <c r="G568" s="480"/>
      <c r="H568" s="480"/>
      <c r="I568" s="480"/>
      <c r="J568" s="480"/>
      <c r="K568" s="480"/>
      <c r="L568" s="480"/>
      <c r="M568" s="480"/>
      <c r="N568" s="480"/>
      <c r="O568" s="480"/>
      <c r="P568" s="480"/>
      <c r="Q568" s="480"/>
    </row>
    <row r="569" spans="3:17">
      <c r="C569" s="685"/>
      <c r="D569" s="685"/>
      <c r="E569" s="480"/>
      <c r="F569" s="480"/>
      <c r="G569" s="480"/>
      <c r="H569" s="480"/>
      <c r="I569" s="480"/>
      <c r="J569" s="480"/>
      <c r="K569" s="480"/>
      <c r="L569" s="480"/>
      <c r="M569" s="480"/>
      <c r="N569" s="480"/>
      <c r="O569" s="480"/>
      <c r="P569" s="480"/>
      <c r="Q569" s="480"/>
    </row>
    <row r="570" spans="3:17">
      <c r="C570" s="685"/>
      <c r="D570" s="685"/>
      <c r="E570" s="480"/>
      <c r="F570" s="480"/>
      <c r="G570" s="480"/>
      <c r="H570" s="480"/>
      <c r="I570" s="480"/>
      <c r="J570" s="480"/>
      <c r="K570" s="480"/>
      <c r="L570" s="480"/>
      <c r="M570" s="480"/>
      <c r="N570" s="480"/>
      <c r="O570" s="480"/>
      <c r="P570" s="480"/>
      <c r="Q570" s="480"/>
    </row>
    <row r="571" spans="3:17">
      <c r="C571" s="685"/>
      <c r="D571" s="685"/>
      <c r="E571" s="480"/>
      <c r="F571" s="480"/>
      <c r="G571" s="480"/>
      <c r="H571" s="480"/>
      <c r="I571" s="480"/>
      <c r="J571" s="480"/>
      <c r="K571" s="480"/>
      <c r="L571" s="480"/>
      <c r="M571" s="480"/>
      <c r="N571" s="480"/>
      <c r="O571" s="480"/>
      <c r="P571" s="480"/>
      <c r="Q571" s="480"/>
    </row>
    <row r="572" spans="3:17">
      <c r="C572" s="685"/>
      <c r="D572" s="685"/>
      <c r="E572" s="480"/>
      <c r="F572" s="480"/>
      <c r="G572" s="480"/>
      <c r="H572" s="480"/>
      <c r="I572" s="480"/>
      <c r="J572" s="480"/>
      <c r="K572" s="480"/>
      <c r="L572" s="480"/>
      <c r="M572" s="480"/>
      <c r="N572" s="480"/>
      <c r="O572" s="480"/>
      <c r="P572" s="480"/>
      <c r="Q572" s="480"/>
    </row>
    <row r="573" spans="3:17">
      <c r="C573" s="685"/>
      <c r="D573" s="685"/>
      <c r="E573" s="480"/>
      <c r="F573" s="480"/>
      <c r="G573" s="480"/>
      <c r="H573" s="480"/>
      <c r="I573" s="480"/>
      <c r="J573" s="480"/>
      <c r="K573" s="480"/>
      <c r="L573" s="480"/>
      <c r="M573" s="480"/>
      <c r="N573" s="480"/>
      <c r="O573" s="480"/>
      <c r="P573" s="480"/>
      <c r="Q573" s="480"/>
    </row>
    <row r="574" spans="3:17">
      <c r="C574" s="685"/>
      <c r="D574" s="685"/>
      <c r="E574" s="480"/>
      <c r="F574" s="480"/>
      <c r="G574" s="480"/>
      <c r="H574" s="480"/>
      <c r="I574" s="480"/>
      <c r="J574" s="480"/>
      <c r="K574" s="480"/>
      <c r="L574" s="480"/>
      <c r="M574" s="480"/>
      <c r="N574" s="480"/>
      <c r="O574" s="480"/>
      <c r="P574" s="480"/>
      <c r="Q574" s="480"/>
    </row>
    <row r="575" spans="3:17">
      <c r="C575" s="685"/>
      <c r="D575" s="685"/>
      <c r="E575" s="480"/>
      <c r="F575" s="480"/>
      <c r="G575" s="480"/>
      <c r="H575" s="480"/>
      <c r="I575" s="480"/>
      <c r="J575" s="480"/>
      <c r="K575" s="480"/>
      <c r="L575" s="480"/>
      <c r="M575" s="480"/>
      <c r="N575" s="480"/>
      <c r="O575" s="480"/>
      <c r="P575" s="480"/>
      <c r="Q575" s="480"/>
    </row>
    <row r="576" spans="3:17">
      <c r="C576" s="685"/>
      <c r="D576" s="685"/>
      <c r="E576" s="480"/>
      <c r="F576" s="480"/>
      <c r="G576" s="480"/>
      <c r="H576" s="480"/>
      <c r="I576" s="480"/>
      <c r="J576" s="480"/>
      <c r="K576" s="480"/>
      <c r="L576" s="480"/>
      <c r="M576" s="480"/>
      <c r="N576" s="480"/>
      <c r="O576" s="480"/>
      <c r="P576" s="480"/>
      <c r="Q576" s="480"/>
    </row>
    <row r="577" spans="3:17">
      <c r="C577" s="685"/>
      <c r="D577" s="685"/>
      <c r="E577" s="480"/>
      <c r="F577" s="480"/>
      <c r="G577" s="480"/>
      <c r="H577" s="480"/>
      <c r="I577" s="480"/>
      <c r="J577" s="480"/>
      <c r="K577" s="480"/>
      <c r="L577" s="480"/>
      <c r="M577" s="480"/>
      <c r="N577" s="480"/>
      <c r="O577" s="480"/>
      <c r="P577" s="480"/>
      <c r="Q577" s="480"/>
    </row>
    <row r="578" spans="3:17">
      <c r="C578" s="685"/>
      <c r="D578" s="685"/>
      <c r="E578" s="480"/>
      <c r="F578" s="480"/>
      <c r="G578" s="480"/>
      <c r="H578" s="480"/>
      <c r="I578" s="480"/>
      <c r="J578" s="480"/>
      <c r="K578" s="480"/>
      <c r="L578" s="480"/>
      <c r="M578" s="480"/>
      <c r="N578" s="480"/>
      <c r="O578" s="480"/>
      <c r="P578" s="480"/>
      <c r="Q578" s="480"/>
    </row>
    <row r="579" spans="3:17">
      <c r="C579" s="685"/>
      <c r="D579" s="685"/>
      <c r="E579" s="480"/>
      <c r="F579" s="480"/>
      <c r="G579" s="480"/>
      <c r="H579" s="480"/>
      <c r="I579" s="480"/>
      <c r="J579" s="480"/>
      <c r="K579" s="480"/>
      <c r="L579" s="480"/>
      <c r="M579" s="480"/>
      <c r="N579" s="480"/>
      <c r="O579" s="480"/>
      <c r="P579" s="480"/>
      <c r="Q579" s="480"/>
    </row>
    <row r="580" spans="3:17">
      <c r="C580" s="685"/>
      <c r="D580" s="685"/>
      <c r="E580" s="480"/>
      <c r="F580" s="480"/>
      <c r="G580" s="480"/>
      <c r="H580" s="480"/>
      <c r="I580" s="480"/>
      <c r="J580" s="480"/>
      <c r="K580" s="480"/>
      <c r="L580" s="480"/>
      <c r="M580" s="480"/>
      <c r="N580" s="480"/>
      <c r="O580" s="480"/>
      <c r="P580" s="480"/>
      <c r="Q580" s="480"/>
    </row>
    <row r="581" spans="3:17">
      <c r="C581" s="685"/>
      <c r="D581" s="685"/>
      <c r="E581" s="480"/>
      <c r="F581" s="480"/>
      <c r="G581" s="480"/>
      <c r="H581" s="480"/>
      <c r="I581" s="480"/>
      <c r="J581" s="480"/>
      <c r="K581" s="480"/>
      <c r="L581" s="480"/>
      <c r="M581" s="480"/>
      <c r="N581" s="480"/>
      <c r="O581" s="480"/>
      <c r="P581" s="480"/>
      <c r="Q581" s="480"/>
    </row>
    <row r="582" spans="3:17">
      <c r="C582" s="685"/>
      <c r="D582" s="685"/>
      <c r="E582" s="480"/>
      <c r="F582" s="480"/>
      <c r="G582" s="480"/>
      <c r="H582" s="480"/>
      <c r="I582" s="480"/>
      <c r="J582" s="480"/>
      <c r="K582" s="480"/>
      <c r="L582" s="480"/>
      <c r="M582" s="480"/>
      <c r="N582" s="480"/>
      <c r="O582" s="480"/>
      <c r="P582" s="480"/>
      <c r="Q582" s="480"/>
    </row>
    <row r="583" spans="3:17">
      <c r="C583" s="685"/>
      <c r="D583" s="685"/>
      <c r="E583" s="480"/>
      <c r="F583" s="480"/>
      <c r="G583" s="480"/>
      <c r="H583" s="480"/>
      <c r="I583" s="480"/>
      <c r="J583" s="480"/>
      <c r="K583" s="480"/>
      <c r="L583" s="480"/>
      <c r="M583" s="480"/>
      <c r="N583" s="480"/>
      <c r="O583" s="480"/>
      <c r="P583" s="480"/>
      <c r="Q583" s="480"/>
    </row>
    <row r="584" spans="3:17">
      <c r="C584" s="685"/>
      <c r="D584" s="685"/>
      <c r="E584" s="480"/>
      <c r="F584" s="480"/>
      <c r="G584" s="480"/>
      <c r="H584" s="480"/>
      <c r="I584" s="480"/>
      <c r="J584" s="480"/>
      <c r="K584" s="480"/>
      <c r="L584" s="480"/>
      <c r="M584" s="480"/>
      <c r="N584" s="480"/>
      <c r="O584" s="480"/>
      <c r="P584" s="480"/>
      <c r="Q584" s="480"/>
    </row>
    <row r="585" spans="3:17">
      <c r="C585" s="685"/>
      <c r="D585" s="685"/>
      <c r="E585" s="480"/>
      <c r="F585" s="480"/>
      <c r="G585" s="480"/>
      <c r="H585" s="480"/>
      <c r="I585" s="480"/>
      <c r="J585" s="480"/>
      <c r="K585" s="480"/>
      <c r="L585" s="480"/>
      <c r="M585" s="480"/>
      <c r="N585" s="480"/>
      <c r="O585" s="480"/>
      <c r="P585" s="480"/>
      <c r="Q585" s="480"/>
    </row>
    <row r="586" spans="3:17">
      <c r="C586" s="685"/>
      <c r="D586" s="685"/>
      <c r="E586" s="480"/>
      <c r="F586" s="480"/>
      <c r="G586" s="480"/>
      <c r="H586" s="480"/>
      <c r="I586" s="480"/>
      <c r="J586" s="480"/>
      <c r="K586" s="480"/>
      <c r="L586" s="480"/>
      <c r="M586" s="480"/>
      <c r="N586" s="480"/>
      <c r="O586" s="480"/>
      <c r="P586" s="480"/>
      <c r="Q586" s="480"/>
    </row>
    <row r="587" spans="3:17">
      <c r="C587" s="685"/>
      <c r="D587" s="685"/>
      <c r="E587" s="480"/>
      <c r="F587" s="480"/>
      <c r="G587" s="480"/>
      <c r="H587" s="480"/>
      <c r="I587" s="480"/>
      <c r="J587" s="480"/>
      <c r="K587" s="480"/>
      <c r="L587" s="480"/>
      <c r="M587" s="480"/>
      <c r="N587" s="480"/>
      <c r="O587" s="480"/>
      <c r="P587" s="480"/>
      <c r="Q587" s="480"/>
    </row>
    <row r="588" spans="3:17">
      <c r="C588" s="685"/>
      <c r="D588" s="685"/>
      <c r="E588" s="480"/>
      <c r="F588" s="480"/>
      <c r="G588" s="480"/>
      <c r="H588" s="480"/>
      <c r="I588" s="480"/>
      <c r="J588" s="480"/>
      <c r="K588" s="480"/>
      <c r="L588" s="480"/>
      <c r="M588" s="480"/>
      <c r="N588" s="480"/>
      <c r="O588" s="480"/>
      <c r="P588" s="480"/>
      <c r="Q588" s="480"/>
    </row>
    <row r="589" spans="3:17">
      <c r="C589" s="685"/>
      <c r="D589" s="685"/>
      <c r="E589" s="480"/>
      <c r="F589" s="480"/>
      <c r="G589" s="480"/>
      <c r="H589" s="480"/>
      <c r="I589" s="480"/>
      <c r="J589" s="480"/>
      <c r="K589" s="480"/>
      <c r="L589" s="480"/>
      <c r="M589" s="480"/>
      <c r="N589" s="480"/>
      <c r="O589" s="480"/>
      <c r="P589" s="480"/>
      <c r="Q589" s="480"/>
    </row>
    <row r="590" spans="3:17">
      <c r="C590" s="685"/>
      <c r="D590" s="685"/>
      <c r="E590" s="480"/>
      <c r="F590" s="480"/>
      <c r="G590" s="480"/>
      <c r="H590" s="480"/>
      <c r="I590" s="480"/>
      <c r="J590" s="480"/>
      <c r="K590" s="480"/>
      <c r="L590" s="480"/>
      <c r="M590" s="480"/>
      <c r="N590" s="480"/>
      <c r="O590" s="480"/>
      <c r="P590" s="480"/>
      <c r="Q590" s="480"/>
    </row>
    <row r="591" spans="3:17">
      <c r="C591" s="685"/>
      <c r="D591" s="685"/>
      <c r="E591" s="480"/>
      <c r="F591" s="480"/>
      <c r="G591" s="480"/>
      <c r="H591" s="480"/>
      <c r="I591" s="480"/>
      <c r="J591" s="480"/>
      <c r="K591" s="480"/>
      <c r="L591" s="480"/>
      <c r="M591" s="480"/>
      <c r="N591" s="480"/>
      <c r="O591" s="480"/>
      <c r="P591" s="480"/>
      <c r="Q591" s="480"/>
    </row>
    <row r="592" spans="3:17">
      <c r="C592" s="685"/>
      <c r="D592" s="685"/>
      <c r="E592" s="480"/>
      <c r="F592" s="480"/>
      <c r="G592" s="480"/>
      <c r="H592" s="480"/>
      <c r="I592" s="480"/>
      <c r="J592" s="480"/>
      <c r="K592" s="480"/>
      <c r="L592" s="480"/>
      <c r="M592" s="480"/>
      <c r="N592" s="480"/>
      <c r="O592" s="480"/>
      <c r="P592" s="480"/>
      <c r="Q592" s="480"/>
    </row>
    <row r="593" spans="3:17">
      <c r="C593" s="685"/>
      <c r="D593" s="685"/>
      <c r="E593" s="480"/>
      <c r="F593" s="480"/>
      <c r="G593" s="480"/>
      <c r="H593" s="480"/>
      <c r="I593" s="480"/>
      <c r="J593" s="480"/>
      <c r="K593" s="480"/>
      <c r="L593" s="480"/>
      <c r="M593" s="480"/>
      <c r="N593" s="480"/>
      <c r="O593" s="480"/>
      <c r="P593" s="480"/>
      <c r="Q593" s="480"/>
    </row>
    <row r="594" spans="3:17">
      <c r="C594" s="685"/>
      <c r="D594" s="685"/>
      <c r="E594" s="480"/>
      <c r="F594" s="480"/>
      <c r="G594" s="480"/>
      <c r="H594" s="480"/>
      <c r="I594" s="480"/>
      <c r="J594" s="480"/>
      <c r="K594" s="480"/>
      <c r="L594" s="480"/>
      <c r="M594" s="480"/>
      <c r="N594" s="480"/>
      <c r="O594" s="480"/>
      <c r="P594" s="480"/>
      <c r="Q594" s="480"/>
    </row>
    <row r="595" spans="3:17">
      <c r="C595" s="685"/>
      <c r="D595" s="685"/>
      <c r="E595" s="480"/>
      <c r="F595" s="480"/>
      <c r="G595" s="480"/>
      <c r="H595" s="480"/>
      <c r="I595" s="480"/>
      <c r="J595" s="480"/>
      <c r="K595" s="480"/>
      <c r="L595" s="480"/>
      <c r="M595" s="480"/>
      <c r="N595" s="480"/>
      <c r="O595" s="480"/>
      <c r="P595" s="480"/>
      <c r="Q595" s="480"/>
    </row>
    <row r="596" spans="3:17">
      <c r="C596" s="685"/>
      <c r="D596" s="685"/>
      <c r="E596" s="480"/>
      <c r="F596" s="480"/>
      <c r="G596" s="480"/>
      <c r="H596" s="480"/>
      <c r="I596" s="480"/>
      <c r="J596" s="480"/>
      <c r="K596" s="480"/>
      <c r="L596" s="480"/>
      <c r="M596" s="480"/>
      <c r="N596" s="480"/>
      <c r="O596" s="480"/>
      <c r="P596" s="480"/>
      <c r="Q596" s="480"/>
    </row>
    <row r="597" spans="3:17">
      <c r="C597" s="685"/>
      <c r="D597" s="685"/>
      <c r="E597" s="480"/>
      <c r="F597" s="480"/>
      <c r="G597" s="480"/>
      <c r="H597" s="480"/>
      <c r="I597" s="480"/>
      <c r="J597" s="480"/>
      <c r="K597" s="480"/>
      <c r="L597" s="480"/>
      <c r="M597" s="480"/>
      <c r="N597" s="480"/>
      <c r="O597" s="480"/>
      <c r="P597" s="480"/>
      <c r="Q597" s="480"/>
    </row>
    <row r="598" spans="3:17">
      <c r="C598" s="685"/>
      <c r="D598" s="685"/>
      <c r="E598" s="480"/>
      <c r="F598" s="480"/>
      <c r="G598" s="480"/>
      <c r="H598" s="480"/>
      <c r="I598" s="480"/>
      <c r="J598" s="480"/>
      <c r="K598" s="480"/>
      <c r="L598" s="480"/>
      <c r="M598" s="480"/>
      <c r="N598" s="480"/>
      <c r="O598" s="480"/>
      <c r="P598" s="480"/>
      <c r="Q598" s="480"/>
    </row>
    <row r="599" spans="3:17">
      <c r="C599" s="685"/>
      <c r="D599" s="685"/>
      <c r="E599" s="480"/>
      <c r="F599" s="480"/>
      <c r="G599" s="480"/>
      <c r="H599" s="480"/>
      <c r="I599" s="480"/>
      <c r="J599" s="480"/>
      <c r="K599" s="480"/>
      <c r="L599" s="480"/>
      <c r="M599" s="480"/>
      <c r="N599" s="480"/>
      <c r="O599" s="480"/>
      <c r="P599" s="480"/>
      <c r="Q599" s="480"/>
    </row>
    <row r="600" spans="3:17">
      <c r="C600" s="685"/>
      <c r="D600" s="685"/>
      <c r="E600" s="480"/>
      <c r="F600" s="480"/>
      <c r="G600" s="480"/>
      <c r="H600" s="480"/>
      <c r="I600" s="480"/>
      <c r="J600" s="480"/>
      <c r="K600" s="480"/>
      <c r="L600" s="480"/>
      <c r="M600" s="480"/>
      <c r="N600" s="480"/>
      <c r="O600" s="480"/>
      <c r="P600" s="480"/>
      <c r="Q600" s="480"/>
    </row>
    <row r="601" spans="3:17">
      <c r="C601" s="685"/>
      <c r="D601" s="685"/>
      <c r="E601" s="480"/>
      <c r="F601" s="480"/>
      <c r="G601" s="480"/>
      <c r="H601" s="480"/>
      <c r="I601" s="480"/>
      <c r="J601" s="480"/>
      <c r="K601" s="480"/>
      <c r="L601" s="480"/>
      <c r="M601" s="480"/>
      <c r="N601" s="480"/>
      <c r="O601" s="480"/>
      <c r="P601" s="480"/>
      <c r="Q601" s="480"/>
    </row>
    <row r="602" spans="3:17">
      <c r="C602" s="685"/>
      <c r="D602" s="685"/>
      <c r="E602" s="480"/>
      <c r="F602" s="480"/>
      <c r="G602" s="480"/>
      <c r="H602" s="480"/>
      <c r="I602" s="480"/>
      <c r="J602" s="480"/>
      <c r="K602" s="480"/>
      <c r="L602" s="480"/>
      <c r="M602" s="480"/>
      <c r="N602" s="480"/>
      <c r="O602" s="480"/>
      <c r="P602" s="480"/>
      <c r="Q602" s="480"/>
    </row>
    <row r="603" spans="3:17">
      <c r="C603" s="685"/>
      <c r="D603" s="685"/>
      <c r="E603" s="480"/>
      <c r="F603" s="480"/>
      <c r="G603" s="480"/>
      <c r="H603" s="480"/>
      <c r="I603" s="480"/>
      <c r="J603" s="480"/>
      <c r="K603" s="480"/>
      <c r="L603" s="480"/>
      <c r="M603" s="480"/>
      <c r="N603" s="480"/>
      <c r="O603" s="480"/>
      <c r="P603" s="480"/>
      <c r="Q603" s="480"/>
    </row>
    <row r="604" spans="3:17">
      <c r="C604" s="685"/>
      <c r="D604" s="685"/>
      <c r="E604" s="480"/>
      <c r="F604" s="480"/>
      <c r="G604" s="480"/>
      <c r="H604" s="480"/>
      <c r="I604" s="480"/>
      <c r="J604" s="480"/>
      <c r="K604" s="480"/>
      <c r="L604" s="480"/>
      <c r="M604" s="480"/>
      <c r="N604" s="480"/>
      <c r="O604" s="480"/>
      <c r="P604" s="480"/>
      <c r="Q604" s="480"/>
    </row>
    <row r="605" spans="3:17">
      <c r="C605" s="685"/>
      <c r="D605" s="685"/>
      <c r="E605" s="480"/>
      <c r="F605" s="480"/>
      <c r="G605" s="480"/>
      <c r="H605" s="480"/>
      <c r="I605" s="480"/>
      <c r="J605" s="480"/>
      <c r="K605" s="480"/>
      <c r="L605" s="480"/>
      <c r="M605" s="480"/>
      <c r="N605" s="480"/>
      <c r="O605" s="480"/>
      <c r="P605" s="480"/>
      <c r="Q605" s="480"/>
    </row>
    <row r="606" spans="3:17">
      <c r="C606" s="685"/>
      <c r="D606" s="685"/>
      <c r="E606" s="480"/>
      <c r="F606" s="480"/>
      <c r="G606" s="480"/>
      <c r="H606" s="480"/>
      <c r="I606" s="480"/>
      <c r="J606" s="480"/>
      <c r="K606" s="480"/>
      <c r="L606" s="480"/>
      <c r="M606" s="480"/>
      <c r="N606" s="480"/>
      <c r="O606" s="480"/>
      <c r="P606" s="480"/>
      <c r="Q606" s="480"/>
    </row>
    <row r="607" spans="3:17">
      <c r="C607" s="685"/>
      <c r="D607" s="685"/>
      <c r="E607" s="480"/>
      <c r="F607" s="480"/>
      <c r="G607" s="480"/>
      <c r="H607" s="480"/>
      <c r="I607" s="480"/>
      <c r="J607" s="480"/>
      <c r="K607" s="480"/>
      <c r="L607" s="480"/>
      <c r="M607" s="480"/>
      <c r="N607" s="480"/>
      <c r="O607" s="480"/>
      <c r="P607" s="480"/>
      <c r="Q607" s="480"/>
    </row>
    <row r="608" spans="3:17">
      <c r="C608" s="685"/>
      <c r="D608" s="685"/>
      <c r="E608" s="480"/>
      <c r="F608" s="480"/>
      <c r="G608" s="480"/>
      <c r="H608" s="480"/>
      <c r="I608" s="480"/>
      <c r="J608" s="480"/>
      <c r="K608" s="480"/>
      <c r="L608" s="480"/>
      <c r="M608" s="480"/>
      <c r="N608" s="480"/>
      <c r="O608" s="480"/>
      <c r="P608" s="480"/>
      <c r="Q608" s="480"/>
    </row>
    <row r="609" spans="3:17">
      <c r="C609" s="685"/>
      <c r="D609" s="685"/>
      <c r="E609" s="480"/>
      <c r="F609" s="480"/>
      <c r="G609" s="480"/>
      <c r="H609" s="480"/>
      <c r="I609" s="480"/>
      <c r="J609" s="480"/>
      <c r="K609" s="480"/>
      <c r="L609" s="480"/>
      <c r="M609" s="480"/>
      <c r="N609" s="480"/>
      <c r="O609" s="480"/>
      <c r="P609" s="480"/>
      <c r="Q609" s="480"/>
    </row>
    <row r="610" spans="3:17">
      <c r="C610" s="685"/>
      <c r="D610" s="685"/>
      <c r="E610" s="480"/>
      <c r="F610" s="480"/>
      <c r="G610" s="480"/>
      <c r="H610" s="480"/>
      <c r="I610" s="480"/>
      <c r="J610" s="480"/>
      <c r="K610" s="480"/>
      <c r="L610" s="480"/>
      <c r="M610" s="480"/>
      <c r="N610" s="480"/>
      <c r="O610" s="480"/>
      <c r="P610" s="480"/>
      <c r="Q610" s="480"/>
    </row>
    <row r="611" spans="3:17">
      <c r="C611" s="685"/>
      <c r="D611" s="685"/>
      <c r="E611" s="480"/>
      <c r="F611" s="480"/>
      <c r="G611" s="480"/>
      <c r="H611" s="480"/>
      <c r="I611" s="480"/>
      <c r="J611" s="480"/>
      <c r="K611" s="480"/>
      <c r="L611" s="480"/>
      <c r="M611" s="480"/>
      <c r="N611" s="480"/>
      <c r="O611" s="480"/>
      <c r="P611" s="480"/>
      <c r="Q611" s="480"/>
    </row>
    <row r="612" spans="3:17">
      <c r="C612" s="685"/>
      <c r="D612" s="685"/>
      <c r="E612" s="480"/>
      <c r="F612" s="480"/>
      <c r="G612" s="480"/>
      <c r="H612" s="480"/>
      <c r="I612" s="480"/>
      <c r="J612" s="480"/>
      <c r="K612" s="480"/>
      <c r="L612" s="480"/>
      <c r="M612" s="480"/>
      <c r="N612" s="480"/>
      <c r="O612" s="480"/>
      <c r="P612" s="480"/>
      <c r="Q612" s="480"/>
    </row>
    <row r="613" spans="3:17">
      <c r="C613" s="685"/>
      <c r="D613" s="685"/>
      <c r="E613" s="480"/>
      <c r="F613" s="480"/>
      <c r="G613" s="480"/>
      <c r="H613" s="480"/>
      <c r="I613" s="480"/>
      <c r="J613" s="480"/>
      <c r="K613" s="480"/>
      <c r="L613" s="480"/>
      <c r="M613" s="480"/>
      <c r="N613" s="480"/>
      <c r="O613" s="480"/>
      <c r="P613" s="480"/>
      <c r="Q613" s="480"/>
    </row>
    <row r="614" spans="3:17">
      <c r="C614" s="685"/>
      <c r="D614" s="685"/>
      <c r="E614" s="480"/>
      <c r="F614" s="480"/>
      <c r="G614" s="480"/>
      <c r="H614" s="480"/>
      <c r="I614" s="480"/>
      <c r="J614" s="480"/>
      <c r="K614" s="480"/>
      <c r="L614" s="480"/>
      <c r="M614" s="480"/>
      <c r="N614" s="480"/>
      <c r="O614" s="480"/>
      <c r="P614" s="480"/>
      <c r="Q614" s="480"/>
    </row>
    <row r="615" spans="3:17">
      <c r="C615" s="685"/>
      <c r="D615" s="685"/>
      <c r="E615" s="480"/>
      <c r="F615" s="480"/>
      <c r="G615" s="480"/>
      <c r="H615" s="480"/>
      <c r="I615" s="480"/>
      <c r="J615" s="480"/>
      <c r="K615" s="480"/>
      <c r="L615" s="480"/>
      <c r="M615" s="480"/>
      <c r="N615" s="480"/>
      <c r="O615" s="480"/>
      <c r="P615" s="480"/>
      <c r="Q615" s="480"/>
    </row>
    <row r="616" spans="3:17">
      <c r="C616" s="685"/>
      <c r="D616" s="685"/>
      <c r="E616" s="480"/>
      <c r="F616" s="480"/>
      <c r="G616" s="480"/>
      <c r="H616" s="480"/>
      <c r="I616" s="480"/>
      <c r="J616" s="480"/>
      <c r="K616" s="480"/>
      <c r="L616" s="480"/>
      <c r="M616" s="480"/>
      <c r="N616" s="480"/>
      <c r="O616" s="480"/>
      <c r="P616" s="480"/>
      <c r="Q616" s="480"/>
    </row>
    <row r="617" spans="3:17">
      <c r="C617" s="685"/>
      <c r="D617" s="685"/>
      <c r="E617" s="480"/>
      <c r="F617" s="480"/>
      <c r="G617" s="480"/>
      <c r="H617" s="480"/>
      <c r="I617" s="480"/>
      <c r="J617" s="480"/>
      <c r="K617" s="480"/>
      <c r="L617" s="480"/>
      <c r="M617" s="480"/>
      <c r="N617" s="480"/>
      <c r="O617" s="480"/>
      <c r="P617" s="480"/>
      <c r="Q617" s="480"/>
    </row>
    <row r="618" spans="3:17">
      <c r="C618" s="685"/>
      <c r="D618" s="685"/>
      <c r="E618" s="480"/>
      <c r="F618" s="480"/>
      <c r="G618" s="480"/>
      <c r="H618" s="480"/>
      <c r="I618" s="480"/>
      <c r="J618" s="480"/>
      <c r="K618" s="480"/>
      <c r="L618" s="480"/>
      <c r="M618" s="480"/>
      <c r="N618" s="480"/>
      <c r="O618" s="480"/>
      <c r="P618" s="480"/>
      <c r="Q618" s="480"/>
    </row>
    <row r="619" spans="3:17">
      <c r="C619" s="685"/>
      <c r="D619" s="685"/>
      <c r="E619" s="480"/>
      <c r="F619" s="480"/>
      <c r="G619" s="480"/>
      <c r="H619" s="480"/>
      <c r="I619" s="480"/>
      <c r="J619" s="480"/>
      <c r="K619" s="480"/>
      <c r="L619" s="480"/>
      <c r="M619" s="480"/>
      <c r="N619" s="480"/>
      <c r="O619" s="480"/>
      <c r="P619" s="480"/>
      <c r="Q619" s="480"/>
    </row>
    <row r="620" spans="3:17">
      <c r="C620" s="685"/>
      <c r="D620" s="685"/>
      <c r="E620" s="480"/>
      <c r="F620" s="480"/>
      <c r="G620" s="480"/>
      <c r="H620" s="480"/>
      <c r="I620" s="480"/>
      <c r="J620" s="480"/>
      <c r="K620" s="480"/>
      <c r="L620" s="480"/>
      <c r="M620" s="480"/>
      <c r="N620" s="480"/>
      <c r="O620" s="480"/>
      <c r="P620" s="480"/>
      <c r="Q620" s="480"/>
    </row>
    <row r="621" spans="3:17">
      <c r="C621" s="685"/>
      <c r="D621" s="685"/>
      <c r="E621" s="480"/>
      <c r="F621" s="480"/>
      <c r="G621" s="480"/>
      <c r="H621" s="480"/>
      <c r="I621" s="480"/>
      <c r="J621" s="480"/>
      <c r="K621" s="480"/>
      <c r="L621" s="480"/>
      <c r="M621" s="480"/>
      <c r="N621" s="480"/>
      <c r="O621" s="480"/>
      <c r="P621" s="480"/>
      <c r="Q621" s="480"/>
    </row>
    <row r="622" spans="3:17">
      <c r="C622" s="685"/>
      <c r="D622" s="685"/>
      <c r="E622" s="480"/>
      <c r="F622" s="480"/>
      <c r="G622" s="480"/>
      <c r="H622" s="480"/>
      <c r="I622" s="480"/>
      <c r="J622" s="480"/>
      <c r="K622" s="480"/>
      <c r="L622" s="480"/>
      <c r="M622" s="480"/>
      <c r="N622" s="480"/>
      <c r="O622" s="480"/>
      <c r="P622" s="480"/>
      <c r="Q622" s="480"/>
    </row>
    <row r="623" spans="3:17">
      <c r="C623" s="685"/>
      <c r="D623" s="685"/>
      <c r="E623" s="480"/>
      <c r="F623" s="480"/>
      <c r="G623" s="480"/>
      <c r="H623" s="480"/>
      <c r="I623" s="480"/>
      <c r="J623" s="480"/>
      <c r="K623" s="480"/>
      <c r="L623" s="480"/>
      <c r="M623" s="480"/>
      <c r="N623" s="480"/>
      <c r="O623" s="480"/>
      <c r="P623" s="480"/>
      <c r="Q623" s="480"/>
    </row>
    <row r="624" spans="3:17">
      <c r="C624" s="685"/>
      <c r="D624" s="685"/>
      <c r="E624" s="480"/>
      <c r="F624" s="480"/>
      <c r="G624" s="480"/>
      <c r="H624" s="480"/>
      <c r="I624" s="480"/>
      <c r="J624" s="480"/>
      <c r="K624" s="480"/>
      <c r="L624" s="480"/>
      <c r="M624" s="480"/>
      <c r="N624" s="480"/>
      <c r="O624" s="480"/>
      <c r="P624" s="480"/>
      <c r="Q624" s="480"/>
    </row>
    <row r="625" spans="3:17">
      <c r="C625" s="685"/>
      <c r="D625" s="685"/>
      <c r="E625" s="480"/>
      <c r="F625" s="480"/>
      <c r="G625" s="480"/>
      <c r="H625" s="480"/>
      <c r="I625" s="480"/>
      <c r="J625" s="480"/>
      <c r="K625" s="480"/>
      <c r="L625" s="480"/>
      <c r="M625" s="480"/>
      <c r="N625" s="480"/>
      <c r="O625" s="480"/>
      <c r="P625" s="480"/>
      <c r="Q625" s="480"/>
    </row>
    <row r="626" spans="3:17">
      <c r="C626" s="685"/>
      <c r="D626" s="685"/>
      <c r="E626" s="480"/>
      <c r="F626" s="480"/>
      <c r="G626" s="480"/>
      <c r="H626" s="480"/>
      <c r="I626" s="480"/>
      <c r="J626" s="480"/>
      <c r="K626" s="480"/>
      <c r="L626" s="480"/>
      <c r="M626" s="480"/>
      <c r="N626" s="480"/>
      <c r="O626" s="480"/>
      <c r="P626" s="480"/>
      <c r="Q626" s="480"/>
    </row>
    <row r="627" spans="3:17">
      <c r="C627" s="685"/>
      <c r="D627" s="685"/>
      <c r="E627" s="480"/>
      <c r="F627" s="480"/>
      <c r="G627" s="480"/>
      <c r="H627" s="480"/>
      <c r="I627" s="480"/>
      <c r="J627" s="480"/>
      <c r="K627" s="480"/>
      <c r="L627" s="480"/>
      <c r="M627" s="480"/>
      <c r="N627" s="480"/>
      <c r="O627" s="480"/>
      <c r="P627" s="480"/>
      <c r="Q627" s="480"/>
    </row>
    <row r="628" spans="3:17">
      <c r="C628" s="685"/>
      <c r="D628" s="685"/>
      <c r="E628" s="480"/>
      <c r="F628" s="480"/>
      <c r="G628" s="480"/>
      <c r="H628" s="480"/>
      <c r="I628" s="480"/>
      <c r="J628" s="480"/>
      <c r="K628" s="480"/>
      <c r="L628" s="480"/>
      <c r="M628" s="480"/>
      <c r="N628" s="480"/>
      <c r="O628" s="480"/>
      <c r="P628" s="480"/>
      <c r="Q628" s="480"/>
    </row>
    <row r="629" spans="3:17">
      <c r="C629" s="685"/>
      <c r="D629" s="685"/>
      <c r="E629" s="480"/>
      <c r="F629" s="480"/>
      <c r="G629" s="480"/>
      <c r="H629" s="480"/>
      <c r="I629" s="480"/>
      <c r="J629" s="480"/>
      <c r="K629" s="480"/>
      <c r="L629" s="480"/>
      <c r="M629" s="480"/>
      <c r="N629" s="480"/>
      <c r="O629" s="480"/>
      <c r="P629" s="480"/>
      <c r="Q629" s="480"/>
    </row>
    <row r="630" spans="3:17">
      <c r="C630" s="685"/>
      <c r="D630" s="685"/>
      <c r="E630" s="480"/>
      <c r="F630" s="480"/>
      <c r="G630" s="480"/>
      <c r="H630" s="480"/>
      <c r="I630" s="480"/>
      <c r="J630" s="480"/>
      <c r="K630" s="480"/>
      <c r="L630" s="480"/>
      <c r="M630" s="480"/>
      <c r="N630" s="480"/>
      <c r="O630" s="480"/>
      <c r="P630" s="480"/>
      <c r="Q630" s="480"/>
    </row>
    <row r="631" spans="3:17">
      <c r="C631" s="685"/>
      <c r="D631" s="685"/>
      <c r="E631" s="480"/>
      <c r="F631" s="480"/>
      <c r="G631" s="480"/>
      <c r="H631" s="480"/>
      <c r="I631" s="480"/>
      <c r="J631" s="480"/>
      <c r="K631" s="480"/>
      <c r="L631" s="480"/>
      <c r="M631" s="480"/>
      <c r="N631" s="480"/>
      <c r="O631" s="480"/>
      <c r="P631" s="480"/>
      <c r="Q631" s="480"/>
    </row>
    <row r="632" spans="3:17">
      <c r="C632" s="685"/>
      <c r="D632" s="685"/>
      <c r="E632" s="480"/>
      <c r="F632" s="480"/>
      <c r="G632" s="480"/>
      <c r="H632" s="480"/>
      <c r="I632" s="480"/>
      <c r="J632" s="480"/>
      <c r="K632" s="480"/>
      <c r="L632" s="480"/>
      <c r="M632" s="480"/>
      <c r="N632" s="480"/>
      <c r="O632" s="480"/>
      <c r="P632" s="480"/>
      <c r="Q632" s="480"/>
    </row>
    <row r="633" spans="3:17">
      <c r="C633" s="685"/>
      <c r="D633" s="685"/>
      <c r="E633" s="480"/>
      <c r="F633" s="480"/>
      <c r="G633" s="480"/>
      <c r="H633" s="480"/>
      <c r="I633" s="480"/>
      <c r="J633" s="480"/>
      <c r="K633" s="480"/>
      <c r="L633" s="480"/>
      <c r="M633" s="480"/>
      <c r="N633" s="480"/>
      <c r="O633" s="480"/>
      <c r="P633" s="480"/>
      <c r="Q633" s="480"/>
    </row>
    <row r="634" spans="3:17">
      <c r="C634" s="685"/>
      <c r="D634" s="685"/>
      <c r="E634" s="480"/>
      <c r="F634" s="480"/>
      <c r="G634" s="480"/>
      <c r="H634" s="480"/>
      <c r="I634" s="480"/>
      <c r="J634" s="480"/>
      <c r="K634" s="480"/>
      <c r="L634" s="480"/>
      <c r="M634" s="480"/>
      <c r="N634" s="480"/>
      <c r="O634" s="480"/>
      <c r="P634" s="480"/>
      <c r="Q634" s="480"/>
    </row>
    <row r="635" spans="3:17">
      <c r="C635" s="685"/>
      <c r="D635" s="685"/>
      <c r="E635" s="480"/>
      <c r="F635" s="480"/>
      <c r="G635" s="480"/>
      <c r="H635" s="480"/>
      <c r="I635" s="480"/>
      <c r="J635" s="480"/>
      <c r="K635" s="480"/>
      <c r="L635" s="480"/>
      <c r="M635" s="480"/>
      <c r="N635" s="480"/>
      <c r="O635" s="480"/>
      <c r="P635" s="480"/>
      <c r="Q635" s="480"/>
    </row>
    <row r="636" spans="3:17">
      <c r="C636" s="685"/>
      <c r="D636" s="685"/>
      <c r="E636" s="480"/>
      <c r="F636" s="480"/>
      <c r="G636" s="480"/>
      <c r="H636" s="480"/>
      <c r="I636" s="480"/>
      <c r="J636" s="480"/>
      <c r="K636" s="480"/>
      <c r="L636" s="480"/>
      <c r="M636" s="480"/>
      <c r="N636" s="480"/>
      <c r="O636" s="480"/>
      <c r="P636" s="480"/>
      <c r="Q636" s="480"/>
    </row>
    <row r="637" spans="3:17">
      <c r="C637" s="685"/>
      <c r="D637" s="685"/>
      <c r="E637" s="480"/>
      <c r="F637" s="480"/>
      <c r="G637" s="480"/>
      <c r="H637" s="480"/>
      <c r="I637" s="480"/>
      <c r="J637" s="480"/>
      <c r="K637" s="480"/>
      <c r="L637" s="480"/>
      <c r="M637" s="480"/>
      <c r="N637" s="480"/>
      <c r="O637" s="480"/>
      <c r="P637" s="480"/>
      <c r="Q637" s="480"/>
    </row>
    <row r="638" spans="3:17">
      <c r="C638" s="685"/>
      <c r="D638" s="685"/>
      <c r="E638" s="480"/>
      <c r="F638" s="480"/>
      <c r="G638" s="480"/>
      <c r="H638" s="480"/>
      <c r="I638" s="480"/>
      <c r="J638" s="480"/>
      <c r="K638" s="480"/>
      <c r="L638" s="480"/>
      <c r="M638" s="480"/>
      <c r="N638" s="480"/>
      <c r="O638" s="480"/>
      <c r="P638" s="480"/>
      <c r="Q638" s="480"/>
    </row>
    <row r="639" spans="3:17">
      <c r="C639" s="685"/>
      <c r="D639" s="685"/>
      <c r="E639" s="480"/>
      <c r="F639" s="480"/>
      <c r="G639" s="480"/>
      <c r="H639" s="480"/>
      <c r="I639" s="480"/>
      <c r="J639" s="480"/>
      <c r="K639" s="480"/>
      <c r="L639" s="480"/>
      <c r="M639" s="480"/>
      <c r="N639" s="480"/>
      <c r="O639" s="480"/>
      <c r="P639" s="480"/>
      <c r="Q639" s="480"/>
    </row>
    <row r="640" spans="3:17">
      <c r="C640" s="685"/>
      <c r="D640" s="685"/>
      <c r="E640" s="480"/>
      <c r="F640" s="480"/>
      <c r="G640" s="480"/>
      <c r="H640" s="480"/>
      <c r="I640" s="480"/>
      <c r="J640" s="480"/>
      <c r="K640" s="480"/>
      <c r="L640" s="480"/>
      <c r="M640" s="480"/>
      <c r="N640" s="480"/>
      <c r="O640" s="480"/>
      <c r="P640" s="480"/>
      <c r="Q640" s="480"/>
    </row>
    <row r="641" spans="3:17">
      <c r="C641" s="685"/>
      <c r="D641" s="685"/>
      <c r="E641" s="480"/>
      <c r="F641" s="480"/>
      <c r="G641" s="480"/>
      <c r="H641" s="480"/>
      <c r="I641" s="480"/>
      <c r="J641" s="480"/>
      <c r="K641" s="480"/>
      <c r="L641" s="480"/>
      <c r="M641" s="480"/>
      <c r="N641" s="480"/>
      <c r="O641" s="480"/>
      <c r="P641" s="480"/>
      <c r="Q641" s="480"/>
    </row>
    <row r="642" spans="3:17">
      <c r="C642" s="685"/>
      <c r="D642" s="685"/>
      <c r="E642" s="480"/>
      <c r="F642" s="480"/>
      <c r="G642" s="480"/>
      <c r="H642" s="480"/>
      <c r="I642" s="480"/>
      <c r="J642" s="480"/>
      <c r="K642" s="480"/>
      <c r="L642" s="480"/>
      <c r="M642" s="480"/>
      <c r="N642" s="480"/>
      <c r="O642" s="480"/>
      <c r="P642" s="480"/>
      <c r="Q642" s="480"/>
    </row>
    <row r="643" spans="3:17">
      <c r="C643" s="685"/>
      <c r="D643" s="685"/>
      <c r="E643" s="480"/>
      <c r="F643" s="480"/>
      <c r="G643" s="480"/>
      <c r="H643" s="480"/>
      <c r="I643" s="480"/>
      <c r="J643" s="480"/>
      <c r="K643" s="480"/>
      <c r="L643" s="480"/>
      <c r="M643" s="480"/>
      <c r="N643" s="480"/>
      <c r="O643" s="480"/>
      <c r="P643" s="480"/>
      <c r="Q643" s="480"/>
    </row>
    <row r="644" spans="3:17">
      <c r="C644" s="685"/>
      <c r="D644" s="685"/>
      <c r="E644" s="480"/>
      <c r="F644" s="480"/>
      <c r="G644" s="480"/>
      <c r="H644" s="480"/>
      <c r="I644" s="480"/>
      <c r="J644" s="480"/>
      <c r="K644" s="480"/>
      <c r="L644" s="480"/>
      <c r="M644" s="480"/>
      <c r="N644" s="480"/>
      <c r="O644" s="480"/>
      <c r="P644" s="480"/>
      <c r="Q644" s="480"/>
    </row>
    <row r="645" spans="3:17">
      <c r="C645" s="685"/>
      <c r="D645" s="685"/>
      <c r="E645" s="480"/>
      <c r="F645" s="480"/>
      <c r="G645" s="480"/>
      <c r="H645" s="480"/>
      <c r="I645" s="480"/>
      <c r="J645" s="480"/>
      <c r="K645" s="480"/>
      <c r="L645" s="480"/>
      <c r="M645" s="480"/>
      <c r="N645" s="480"/>
      <c r="O645" s="480"/>
      <c r="P645" s="480"/>
      <c r="Q645" s="480"/>
    </row>
    <row r="646" spans="3:17">
      <c r="C646" s="685"/>
      <c r="D646" s="685"/>
      <c r="E646" s="480"/>
      <c r="F646" s="480"/>
      <c r="G646" s="480"/>
      <c r="H646" s="480"/>
      <c r="I646" s="480"/>
      <c r="J646" s="480"/>
      <c r="K646" s="480"/>
      <c r="L646" s="480"/>
      <c r="M646" s="480"/>
      <c r="N646" s="480"/>
      <c r="O646" s="480"/>
      <c r="P646" s="480"/>
      <c r="Q646" s="480"/>
    </row>
    <row r="647" spans="3:17">
      <c r="C647" s="685"/>
      <c r="D647" s="685"/>
      <c r="E647" s="480"/>
      <c r="F647" s="480"/>
      <c r="G647" s="480"/>
      <c r="H647" s="480"/>
      <c r="I647" s="480"/>
      <c r="J647" s="480"/>
      <c r="K647" s="480"/>
      <c r="L647" s="480"/>
      <c r="M647" s="480"/>
      <c r="N647" s="480"/>
      <c r="O647" s="480"/>
      <c r="P647" s="480"/>
      <c r="Q647" s="480"/>
    </row>
    <row r="648" spans="3:17">
      <c r="C648" s="685"/>
      <c r="D648" s="685"/>
      <c r="E648" s="480"/>
      <c r="F648" s="480"/>
      <c r="G648" s="480"/>
      <c r="H648" s="480"/>
      <c r="I648" s="480"/>
      <c r="J648" s="480"/>
      <c r="K648" s="480"/>
      <c r="L648" s="480"/>
      <c r="M648" s="480"/>
      <c r="N648" s="480"/>
      <c r="O648" s="480"/>
      <c r="P648" s="480"/>
      <c r="Q648" s="480"/>
    </row>
    <row r="649" spans="3:17">
      <c r="C649" s="685"/>
      <c r="D649" s="685"/>
      <c r="E649" s="480"/>
      <c r="F649" s="480"/>
      <c r="G649" s="480"/>
      <c r="H649" s="480"/>
      <c r="I649" s="480"/>
      <c r="J649" s="480"/>
      <c r="K649" s="480"/>
      <c r="L649" s="480"/>
      <c r="M649" s="480"/>
      <c r="N649" s="480"/>
      <c r="O649" s="480"/>
      <c r="P649" s="480"/>
      <c r="Q649" s="480"/>
    </row>
    <row r="650" spans="3:17">
      <c r="C650" s="685"/>
      <c r="D650" s="685"/>
      <c r="E650" s="480"/>
      <c r="F650" s="480"/>
      <c r="G650" s="480"/>
      <c r="H650" s="480"/>
      <c r="I650" s="480"/>
      <c r="J650" s="480"/>
      <c r="K650" s="480"/>
      <c r="L650" s="480"/>
      <c r="M650" s="480"/>
      <c r="N650" s="480"/>
      <c r="O650" s="480"/>
      <c r="P650" s="480"/>
      <c r="Q650" s="480"/>
    </row>
    <row r="651" spans="3:17">
      <c r="C651" s="685"/>
      <c r="D651" s="685"/>
      <c r="E651" s="480"/>
      <c r="F651" s="480"/>
      <c r="G651" s="480"/>
      <c r="H651" s="480"/>
      <c r="I651" s="480"/>
      <c r="J651" s="480"/>
      <c r="K651" s="480"/>
      <c r="L651" s="480"/>
      <c r="M651" s="480"/>
      <c r="N651" s="480"/>
      <c r="O651" s="480"/>
      <c r="P651" s="480"/>
      <c r="Q651" s="480"/>
    </row>
    <row r="652" spans="3:17">
      <c r="C652" s="685"/>
      <c r="D652" s="685"/>
      <c r="E652" s="480"/>
      <c r="F652" s="480"/>
      <c r="G652" s="480"/>
      <c r="H652" s="480"/>
      <c r="I652" s="480"/>
      <c r="J652" s="480"/>
      <c r="K652" s="480"/>
      <c r="L652" s="480"/>
      <c r="M652" s="480"/>
      <c r="N652" s="480"/>
      <c r="O652" s="480"/>
      <c r="P652" s="480"/>
      <c r="Q652" s="480"/>
    </row>
    <row r="653" spans="3:17">
      <c r="C653" s="685"/>
      <c r="D653" s="685"/>
      <c r="E653" s="480"/>
      <c r="F653" s="480"/>
      <c r="G653" s="480"/>
      <c r="H653" s="480"/>
      <c r="I653" s="480"/>
      <c r="J653" s="480"/>
      <c r="K653" s="480"/>
      <c r="L653" s="480"/>
      <c r="M653" s="480"/>
      <c r="N653" s="480"/>
      <c r="O653" s="480"/>
      <c r="P653" s="480"/>
      <c r="Q653" s="480"/>
    </row>
    <row r="654" spans="3:17">
      <c r="C654" s="685"/>
      <c r="D654" s="685"/>
      <c r="E654" s="480"/>
      <c r="F654" s="480"/>
      <c r="G654" s="480"/>
      <c r="H654" s="480"/>
      <c r="I654" s="480"/>
      <c r="J654" s="480"/>
      <c r="K654" s="480"/>
      <c r="L654" s="480"/>
      <c r="M654" s="480"/>
      <c r="N654" s="480"/>
      <c r="O654" s="480"/>
      <c r="P654" s="480"/>
      <c r="Q654" s="480"/>
    </row>
    <row r="655" spans="3:17">
      <c r="C655" s="685"/>
      <c r="D655" s="685"/>
      <c r="E655" s="480"/>
      <c r="F655" s="480"/>
      <c r="G655" s="480"/>
      <c r="H655" s="480"/>
      <c r="I655" s="480"/>
      <c r="J655" s="480"/>
      <c r="K655" s="480"/>
      <c r="L655" s="480"/>
      <c r="M655" s="480"/>
      <c r="N655" s="480"/>
      <c r="O655" s="480"/>
      <c r="P655" s="480"/>
      <c r="Q655" s="480"/>
    </row>
    <row r="656" spans="3:17">
      <c r="C656" s="685"/>
      <c r="D656" s="685"/>
      <c r="E656" s="480"/>
      <c r="F656" s="480"/>
      <c r="G656" s="480"/>
      <c r="H656" s="480"/>
      <c r="I656" s="480"/>
      <c r="J656" s="480"/>
      <c r="K656" s="480"/>
      <c r="L656" s="480"/>
      <c r="M656" s="480"/>
      <c r="N656" s="480"/>
      <c r="O656" s="480"/>
      <c r="P656" s="480"/>
      <c r="Q656" s="480"/>
    </row>
    <row r="657" spans="3:17">
      <c r="C657" s="685"/>
      <c r="D657" s="685"/>
      <c r="E657" s="480"/>
      <c r="F657" s="480"/>
      <c r="G657" s="480"/>
      <c r="H657" s="480"/>
      <c r="I657" s="480"/>
      <c r="J657" s="480"/>
      <c r="K657" s="480"/>
      <c r="L657" s="480"/>
      <c r="M657" s="480"/>
      <c r="N657" s="480"/>
      <c r="O657" s="480"/>
      <c r="P657" s="480"/>
      <c r="Q657" s="480"/>
    </row>
    <row r="658" spans="3:17">
      <c r="C658" s="685"/>
      <c r="D658" s="685"/>
      <c r="E658" s="480"/>
      <c r="F658" s="480"/>
      <c r="G658" s="480"/>
      <c r="H658" s="480"/>
      <c r="I658" s="480"/>
      <c r="J658" s="480"/>
      <c r="K658" s="480"/>
      <c r="L658" s="480"/>
      <c r="M658" s="480"/>
      <c r="N658" s="480"/>
      <c r="O658" s="480"/>
      <c r="P658" s="480"/>
      <c r="Q658" s="480"/>
    </row>
    <row r="659" spans="3:17">
      <c r="C659" s="685"/>
      <c r="D659" s="685"/>
      <c r="E659" s="480"/>
      <c r="F659" s="480"/>
      <c r="G659" s="480"/>
      <c r="H659" s="480"/>
      <c r="I659" s="480"/>
      <c r="J659" s="480"/>
      <c r="K659" s="480"/>
      <c r="L659" s="480"/>
      <c r="M659" s="480"/>
      <c r="N659" s="480"/>
      <c r="O659" s="480"/>
      <c r="P659" s="480"/>
      <c r="Q659" s="480"/>
    </row>
    <row r="660" spans="3:17">
      <c r="C660" s="685"/>
      <c r="D660" s="685"/>
      <c r="E660" s="480"/>
      <c r="F660" s="480"/>
      <c r="G660" s="480"/>
      <c r="H660" s="480"/>
      <c r="I660" s="480"/>
      <c r="J660" s="480"/>
      <c r="K660" s="480"/>
      <c r="L660" s="480"/>
      <c r="M660" s="480"/>
      <c r="N660" s="480"/>
      <c r="O660" s="480"/>
      <c r="P660" s="480"/>
      <c r="Q660" s="480"/>
    </row>
    <row r="661" spans="3:17">
      <c r="C661" s="685"/>
      <c r="D661" s="685"/>
      <c r="E661" s="480"/>
      <c r="F661" s="480"/>
      <c r="G661" s="480"/>
      <c r="H661" s="480"/>
      <c r="I661" s="480"/>
      <c r="J661" s="480"/>
      <c r="K661" s="480"/>
      <c r="L661" s="480"/>
      <c r="M661" s="480"/>
      <c r="N661" s="480"/>
      <c r="O661" s="480"/>
      <c r="P661" s="480"/>
      <c r="Q661" s="480"/>
    </row>
    <row r="662" spans="3:17">
      <c r="C662" s="685"/>
      <c r="D662" s="685"/>
      <c r="E662" s="480"/>
      <c r="F662" s="480"/>
      <c r="G662" s="480"/>
      <c r="H662" s="480"/>
      <c r="I662" s="480"/>
      <c r="J662" s="480"/>
      <c r="K662" s="480"/>
      <c r="L662" s="480"/>
      <c r="M662" s="480"/>
      <c r="N662" s="480"/>
      <c r="O662" s="480"/>
      <c r="P662" s="480"/>
      <c r="Q662" s="480"/>
    </row>
    <row r="663" spans="3:17">
      <c r="C663" s="685"/>
      <c r="D663" s="685"/>
      <c r="E663" s="480"/>
      <c r="F663" s="480"/>
      <c r="G663" s="480"/>
      <c r="H663" s="480"/>
      <c r="I663" s="480"/>
      <c r="J663" s="480"/>
      <c r="K663" s="480"/>
      <c r="L663" s="480"/>
      <c r="M663" s="480"/>
      <c r="N663" s="480"/>
      <c r="O663" s="480"/>
      <c r="P663" s="480"/>
      <c r="Q663" s="480"/>
    </row>
    <row r="664" spans="3:17">
      <c r="C664" s="685"/>
      <c r="D664" s="685"/>
      <c r="E664" s="480"/>
      <c r="F664" s="480"/>
      <c r="G664" s="480"/>
      <c r="H664" s="480"/>
      <c r="I664" s="480"/>
      <c r="J664" s="480"/>
      <c r="K664" s="480"/>
      <c r="L664" s="480"/>
      <c r="M664" s="480"/>
      <c r="N664" s="480"/>
      <c r="O664" s="480"/>
      <c r="P664" s="480"/>
      <c r="Q664" s="480"/>
    </row>
    <row r="665" spans="3:17">
      <c r="C665" s="685"/>
      <c r="D665" s="685"/>
      <c r="E665" s="480"/>
      <c r="F665" s="480"/>
      <c r="G665" s="480"/>
      <c r="H665" s="480"/>
      <c r="I665" s="480"/>
      <c r="J665" s="480"/>
      <c r="K665" s="480"/>
      <c r="L665" s="480"/>
      <c r="M665" s="480"/>
      <c r="N665" s="480"/>
      <c r="O665" s="480"/>
      <c r="P665" s="480"/>
      <c r="Q665" s="480"/>
    </row>
    <row r="666" spans="3:17">
      <c r="C666" s="685"/>
      <c r="D666" s="685"/>
      <c r="E666" s="480"/>
      <c r="F666" s="480"/>
      <c r="G666" s="480"/>
      <c r="H666" s="480"/>
      <c r="I666" s="480"/>
      <c r="J666" s="480"/>
      <c r="K666" s="480"/>
      <c r="L666" s="480"/>
      <c r="M666" s="480"/>
      <c r="N666" s="480"/>
      <c r="O666" s="480"/>
      <c r="P666" s="480"/>
      <c r="Q666" s="480"/>
    </row>
    <row r="667" spans="3:17">
      <c r="C667" s="685"/>
      <c r="D667" s="685"/>
      <c r="E667" s="480"/>
      <c r="F667" s="480"/>
      <c r="G667" s="480"/>
      <c r="H667" s="480"/>
      <c r="I667" s="480"/>
      <c r="J667" s="480"/>
      <c r="K667" s="480"/>
      <c r="L667" s="480"/>
      <c r="M667" s="480"/>
      <c r="N667" s="480"/>
      <c r="O667" s="480"/>
      <c r="P667" s="480"/>
      <c r="Q667" s="480"/>
    </row>
    <row r="668" spans="3:17">
      <c r="C668" s="685"/>
      <c r="D668" s="685"/>
      <c r="E668" s="480"/>
      <c r="F668" s="480"/>
      <c r="G668" s="480"/>
      <c r="H668" s="480"/>
      <c r="I668" s="480"/>
      <c r="J668" s="480"/>
      <c r="K668" s="480"/>
      <c r="L668" s="480"/>
      <c r="M668" s="480"/>
      <c r="N668" s="480"/>
      <c r="O668" s="480"/>
      <c r="P668" s="480"/>
      <c r="Q668" s="480"/>
    </row>
    <row r="669" spans="3:17">
      <c r="C669" s="685"/>
      <c r="D669" s="685"/>
      <c r="E669" s="480"/>
      <c r="F669" s="480"/>
      <c r="G669" s="480"/>
      <c r="H669" s="480"/>
      <c r="I669" s="480"/>
      <c r="J669" s="480"/>
      <c r="K669" s="480"/>
      <c r="L669" s="480"/>
      <c r="M669" s="480"/>
      <c r="N669" s="480"/>
      <c r="O669" s="480"/>
      <c r="P669" s="480"/>
      <c r="Q669" s="480"/>
    </row>
    <row r="670" spans="3:17">
      <c r="C670" s="685"/>
      <c r="D670" s="685"/>
      <c r="E670" s="480"/>
      <c r="F670" s="480"/>
      <c r="G670" s="480"/>
      <c r="H670" s="480"/>
      <c r="I670" s="480"/>
      <c r="J670" s="480"/>
      <c r="K670" s="480"/>
      <c r="L670" s="480"/>
      <c r="M670" s="480"/>
      <c r="N670" s="480"/>
      <c r="O670" s="480"/>
      <c r="P670" s="480"/>
      <c r="Q670" s="480"/>
    </row>
    <row r="671" spans="3:17">
      <c r="C671" s="685"/>
      <c r="D671" s="685"/>
      <c r="E671" s="480"/>
      <c r="F671" s="480"/>
      <c r="G671" s="480"/>
      <c r="H671" s="480"/>
      <c r="I671" s="480"/>
      <c r="J671" s="480"/>
      <c r="K671" s="480"/>
      <c r="L671" s="480"/>
      <c r="M671" s="480"/>
      <c r="N671" s="480"/>
      <c r="O671" s="480"/>
      <c r="P671" s="480"/>
      <c r="Q671" s="480"/>
    </row>
    <row r="672" spans="3:17">
      <c r="C672" s="685"/>
      <c r="D672" s="685"/>
      <c r="E672" s="480"/>
      <c r="F672" s="480"/>
      <c r="G672" s="480"/>
      <c r="H672" s="480"/>
      <c r="I672" s="480"/>
      <c r="J672" s="480"/>
      <c r="K672" s="480"/>
      <c r="L672" s="480"/>
      <c r="M672" s="480"/>
      <c r="N672" s="480"/>
      <c r="O672" s="480"/>
      <c r="P672" s="480"/>
      <c r="Q672" s="480"/>
    </row>
    <row r="673" spans="3:17">
      <c r="C673" s="685"/>
      <c r="D673" s="685"/>
      <c r="E673" s="480"/>
      <c r="F673" s="480"/>
      <c r="G673" s="480"/>
      <c r="H673" s="480"/>
      <c r="I673" s="480"/>
      <c r="J673" s="480"/>
      <c r="K673" s="480"/>
      <c r="L673" s="480"/>
      <c r="M673" s="480"/>
      <c r="N673" s="480"/>
      <c r="O673" s="480"/>
      <c r="P673" s="480"/>
      <c r="Q673" s="480"/>
    </row>
    <row r="674" spans="3:17">
      <c r="C674" s="685"/>
      <c r="D674" s="685"/>
      <c r="E674" s="480"/>
      <c r="F674" s="480"/>
      <c r="G674" s="480"/>
      <c r="H674" s="480"/>
      <c r="I674" s="480"/>
      <c r="J674" s="480"/>
      <c r="K674" s="480"/>
      <c r="L674" s="480"/>
      <c r="M674" s="480"/>
      <c r="N674" s="480"/>
      <c r="O674" s="480"/>
      <c r="P674" s="480"/>
      <c r="Q674" s="480"/>
    </row>
    <row r="675" spans="3:17">
      <c r="C675" s="685"/>
      <c r="D675" s="685"/>
      <c r="E675" s="480"/>
      <c r="F675" s="480"/>
      <c r="G675" s="480"/>
      <c r="H675" s="480"/>
      <c r="I675" s="480"/>
      <c r="J675" s="480"/>
      <c r="K675" s="480"/>
      <c r="L675" s="480"/>
      <c r="M675" s="480"/>
      <c r="N675" s="480"/>
      <c r="O675" s="480"/>
      <c r="P675" s="480"/>
      <c r="Q675" s="480"/>
    </row>
    <row r="676" spans="3:17">
      <c r="C676" s="685"/>
      <c r="D676" s="685"/>
      <c r="E676" s="480"/>
      <c r="F676" s="480"/>
      <c r="G676" s="480"/>
      <c r="H676" s="480"/>
      <c r="I676" s="480"/>
      <c r="J676" s="480"/>
      <c r="K676" s="480"/>
      <c r="L676" s="480"/>
      <c r="M676" s="480"/>
      <c r="N676" s="480"/>
      <c r="O676" s="480"/>
      <c r="P676" s="480"/>
      <c r="Q676" s="480"/>
    </row>
    <row r="677" spans="3:17">
      <c r="C677" s="685"/>
      <c r="D677" s="685"/>
      <c r="E677" s="480"/>
      <c r="F677" s="480"/>
      <c r="G677" s="480"/>
      <c r="H677" s="480"/>
      <c r="I677" s="480"/>
      <c r="J677" s="480"/>
      <c r="K677" s="480"/>
      <c r="L677" s="480"/>
      <c r="M677" s="480"/>
      <c r="N677" s="480"/>
      <c r="O677" s="480"/>
      <c r="P677" s="480"/>
      <c r="Q677" s="480"/>
    </row>
    <row r="678" spans="3:17">
      <c r="C678" s="685"/>
      <c r="D678" s="685"/>
      <c r="E678" s="480"/>
      <c r="F678" s="480"/>
      <c r="G678" s="480"/>
      <c r="H678" s="480"/>
      <c r="I678" s="480"/>
      <c r="J678" s="480"/>
      <c r="K678" s="480"/>
      <c r="L678" s="480"/>
      <c r="M678" s="480"/>
      <c r="N678" s="480"/>
      <c r="O678" s="480"/>
      <c r="P678" s="480"/>
      <c r="Q678" s="480"/>
    </row>
    <row r="679" spans="3:17">
      <c r="C679" s="685"/>
      <c r="D679" s="685"/>
      <c r="E679" s="480"/>
      <c r="F679" s="480"/>
      <c r="G679" s="480"/>
      <c r="H679" s="480"/>
      <c r="I679" s="480"/>
      <c r="J679" s="480"/>
      <c r="K679" s="480"/>
      <c r="L679" s="480"/>
      <c r="M679" s="480"/>
      <c r="N679" s="480"/>
      <c r="O679" s="480"/>
      <c r="P679" s="480"/>
      <c r="Q679" s="480"/>
    </row>
    <row r="680" spans="3:17">
      <c r="C680" s="685"/>
      <c r="D680" s="685"/>
      <c r="E680" s="480"/>
      <c r="F680" s="480"/>
      <c r="G680" s="480"/>
      <c r="H680" s="480"/>
      <c r="I680" s="480"/>
      <c r="J680" s="480"/>
      <c r="K680" s="480"/>
      <c r="L680" s="480"/>
      <c r="M680" s="480"/>
      <c r="N680" s="480"/>
      <c r="O680" s="480"/>
      <c r="P680" s="480"/>
      <c r="Q680" s="480"/>
    </row>
    <row r="681" spans="3:17">
      <c r="C681" s="685"/>
      <c r="D681" s="685"/>
      <c r="E681" s="480"/>
      <c r="F681" s="480"/>
      <c r="G681" s="480"/>
      <c r="H681" s="480"/>
      <c r="I681" s="480"/>
      <c r="J681" s="480"/>
      <c r="K681" s="480"/>
      <c r="L681" s="480"/>
      <c r="M681" s="480"/>
      <c r="N681" s="480"/>
      <c r="O681" s="480"/>
      <c r="P681" s="480"/>
      <c r="Q681" s="480"/>
    </row>
    <row r="682" spans="3:17">
      <c r="C682" s="685"/>
      <c r="D682" s="685"/>
      <c r="E682" s="480"/>
      <c r="F682" s="480"/>
      <c r="G682" s="480"/>
      <c r="H682" s="480"/>
      <c r="I682" s="480"/>
      <c r="J682" s="480"/>
      <c r="K682" s="480"/>
      <c r="L682" s="480"/>
      <c r="M682" s="480"/>
      <c r="N682" s="480"/>
      <c r="O682" s="480"/>
      <c r="P682" s="480"/>
      <c r="Q682" s="480"/>
    </row>
    <row r="683" spans="3:17">
      <c r="C683" s="685"/>
      <c r="D683" s="685"/>
      <c r="E683" s="480"/>
      <c r="F683" s="480"/>
      <c r="G683" s="480"/>
      <c r="H683" s="480"/>
      <c r="I683" s="480"/>
      <c r="J683" s="480"/>
      <c r="K683" s="480"/>
      <c r="L683" s="480"/>
      <c r="M683" s="480"/>
      <c r="N683" s="480"/>
      <c r="O683" s="480"/>
      <c r="P683" s="480"/>
      <c r="Q683" s="480"/>
    </row>
    <row r="684" spans="3:17">
      <c r="C684" s="685"/>
      <c r="D684" s="685"/>
      <c r="E684" s="480"/>
      <c r="F684" s="480"/>
      <c r="G684" s="480"/>
      <c r="H684" s="480"/>
      <c r="I684" s="480"/>
      <c r="J684" s="480"/>
      <c r="K684" s="480"/>
      <c r="L684" s="480"/>
      <c r="M684" s="480"/>
      <c r="N684" s="480"/>
      <c r="O684" s="480"/>
      <c r="P684" s="480"/>
      <c r="Q684" s="480"/>
    </row>
    <row r="685" spans="3:17">
      <c r="C685" s="685"/>
      <c r="D685" s="685"/>
      <c r="E685" s="480"/>
      <c r="F685" s="480"/>
      <c r="G685" s="480"/>
      <c r="H685" s="480"/>
      <c r="I685" s="480"/>
      <c r="J685" s="480"/>
      <c r="K685" s="480"/>
      <c r="L685" s="480"/>
      <c r="M685" s="480"/>
      <c r="N685" s="480"/>
      <c r="O685" s="480"/>
      <c r="P685" s="480"/>
      <c r="Q685" s="480"/>
    </row>
    <row r="686" spans="3:17">
      <c r="C686" s="685"/>
      <c r="D686" s="685"/>
      <c r="E686" s="480"/>
      <c r="F686" s="480"/>
      <c r="G686" s="480"/>
      <c r="H686" s="480"/>
      <c r="I686" s="480"/>
      <c r="J686" s="480"/>
      <c r="K686" s="480"/>
      <c r="L686" s="480"/>
      <c r="M686" s="480"/>
      <c r="N686" s="480"/>
      <c r="O686" s="480"/>
      <c r="P686" s="480"/>
      <c r="Q686" s="480"/>
    </row>
    <row r="687" spans="3:17">
      <c r="C687" s="685"/>
      <c r="D687" s="685"/>
      <c r="E687" s="480"/>
      <c r="F687" s="480"/>
      <c r="G687" s="480"/>
      <c r="H687" s="480"/>
      <c r="I687" s="480"/>
      <c r="J687" s="480"/>
      <c r="K687" s="480"/>
      <c r="L687" s="480"/>
      <c r="M687" s="480"/>
      <c r="N687" s="480"/>
      <c r="O687" s="480"/>
      <c r="P687" s="480"/>
      <c r="Q687" s="480"/>
    </row>
    <row r="688" spans="3:17">
      <c r="C688" s="685"/>
      <c r="D688" s="685"/>
      <c r="E688" s="480"/>
      <c r="F688" s="480"/>
      <c r="G688" s="480"/>
      <c r="H688" s="480"/>
      <c r="I688" s="480"/>
      <c r="J688" s="480"/>
      <c r="K688" s="480"/>
      <c r="L688" s="480"/>
      <c r="M688" s="480"/>
      <c r="N688" s="480"/>
      <c r="O688" s="480"/>
      <c r="P688" s="480"/>
      <c r="Q688" s="480"/>
    </row>
    <row r="689" spans="3:17">
      <c r="C689" s="685"/>
      <c r="D689" s="685"/>
      <c r="E689" s="480"/>
      <c r="F689" s="480"/>
      <c r="G689" s="480"/>
      <c r="H689" s="480"/>
      <c r="I689" s="480"/>
      <c r="J689" s="480"/>
      <c r="K689" s="480"/>
      <c r="L689" s="480"/>
      <c r="M689" s="480"/>
      <c r="N689" s="480"/>
      <c r="O689" s="480"/>
      <c r="P689" s="480"/>
      <c r="Q689" s="480"/>
    </row>
    <row r="690" spans="3:17">
      <c r="C690" s="685"/>
      <c r="D690" s="685"/>
      <c r="E690" s="480"/>
      <c r="F690" s="480"/>
      <c r="G690" s="480"/>
      <c r="H690" s="480"/>
      <c r="I690" s="480"/>
      <c r="J690" s="480"/>
      <c r="K690" s="480"/>
      <c r="L690" s="480"/>
      <c r="M690" s="480"/>
      <c r="N690" s="480"/>
      <c r="O690" s="480"/>
      <c r="P690" s="480"/>
      <c r="Q690" s="480"/>
    </row>
    <row r="691" spans="3:17">
      <c r="C691" s="685"/>
      <c r="D691" s="685"/>
      <c r="E691" s="480"/>
      <c r="F691" s="480"/>
      <c r="G691" s="480"/>
      <c r="H691" s="480"/>
      <c r="I691" s="480"/>
      <c r="J691" s="480"/>
      <c r="K691" s="480"/>
      <c r="L691" s="480"/>
      <c r="M691" s="480"/>
      <c r="N691" s="480"/>
      <c r="O691" s="480"/>
      <c r="P691" s="480"/>
      <c r="Q691" s="480"/>
    </row>
    <row r="692" spans="3:17">
      <c r="C692" s="685"/>
      <c r="D692" s="685"/>
      <c r="E692" s="480"/>
      <c r="F692" s="480"/>
      <c r="G692" s="480"/>
      <c r="H692" s="480"/>
      <c r="I692" s="480"/>
      <c r="J692" s="480"/>
      <c r="K692" s="480"/>
      <c r="L692" s="480"/>
      <c r="M692" s="480"/>
      <c r="N692" s="480"/>
      <c r="O692" s="480"/>
      <c r="P692" s="480"/>
      <c r="Q692" s="480"/>
    </row>
    <row r="693" spans="3:17">
      <c r="C693" s="685"/>
      <c r="D693" s="685"/>
      <c r="E693" s="480"/>
      <c r="F693" s="480"/>
      <c r="G693" s="480"/>
      <c r="H693" s="480"/>
      <c r="I693" s="480"/>
      <c r="J693" s="480"/>
      <c r="K693" s="480"/>
      <c r="L693" s="480"/>
      <c r="M693" s="480"/>
      <c r="N693" s="480"/>
      <c r="O693" s="480"/>
      <c r="P693" s="480"/>
      <c r="Q693" s="480"/>
    </row>
    <row r="694" spans="3:17">
      <c r="C694" s="685"/>
      <c r="D694" s="685"/>
      <c r="E694" s="480"/>
      <c r="F694" s="480"/>
      <c r="G694" s="480"/>
      <c r="H694" s="480"/>
      <c r="I694" s="480"/>
      <c r="J694" s="480"/>
      <c r="K694" s="480"/>
      <c r="L694" s="480"/>
      <c r="M694" s="480"/>
      <c r="N694" s="480"/>
      <c r="O694" s="480"/>
      <c r="P694" s="480"/>
      <c r="Q694" s="480"/>
    </row>
    <row r="695" spans="3:17">
      <c r="C695" s="685"/>
      <c r="D695" s="685"/>
      <c r="E695" s="480"/>
      <c r="F695" s="480"/>
      <c r="G695" s="480"/>
      <c r="H695" s="480"/>
      <c r="I695" s="480"/>
      <c r="J695" s="480"/>
      <c r="K695" s="480"/>
      <c r="L695" s="480"/>
      <c r="M695" s="480"/>
      <c r="N695" s="480"/>
      <c r="O695" s="480"/>
      <c r="P695" s="480"/>
      <c r="Q695" s="480"/>
    </row>
    <row r="696" spans="3:17">
      <c r="C696" s="685"/>
      <c r="D696" s="685"/>
      <c r="E696" s="480"/>
      <c r="F696" s="480"/>
      <c r="G696" s="480"/>
      <c r="H696" s="480"/>
      <c r="I696" s="480"/>
      <c r="J696" s="480"/>
      <c r="K696" s="480"/>
      <c r="L696" s="480"/>
      <c r="M696" s="480"/>
      <c r="N696" s="480"/>
      <c r="O696" s="480"/>
      <c r="P696" s="480"/>
      <c r="Q696" s="480"/>
    </row>
    <row r="697" spans="3:17">
      <c r="C697" s="685"/>
      <c r="D697" s="685"/>
      <c r="E697" s="480"/>
      <c r="F697" s="480"/>
      <c r="G697" s="480"/>
      <c r="H697" s="480"/>
      <c r="I697" s="480"/>
      <c r="J697" s="480"/>
      <c r="K697" s="480"/>
      <c r="L697" s="480"/>
      <c r="M697" s="480"/>
      <c r="N697" s="480"/>
      <c r="O697" s="480"/>
      <c r="P697" s="480"/>
      <c r="Q697" s="480"/>
    </row>
    <row r="698" spans="3:17">
      <c r="C698" s="685"/>
      <c r="D698" s="685"/>
      <c r="E698" s="480"/>
      <c r="F698" s="480"/>
      <c r="G698" s="480"/>
      <c r="H698" s="480"/>
      <c r="I698" s="480"/>
      <c r="J698" s="480"/>
      <c r="K698" s="480"/>
      <c r="L698" s="480"/>
      <c r="M698" s="480"/>
      <c r="N698" s="480"/>
      <c r="O698" s="480"/>
      <c r="P698" s="480"/>
      <c r="Q698" s="480"/>
    </row>
    <row r="699" spans="3:17">
      <c r="C699" s="685"/>
      <c r="D699" s="685"/>
      <c r="E699" s="480"/>
      <c r="F699" s="480"/>
      <c r="G699" s="480"/>
      <c r="H699" s="480"/>
      <c r="I699" s="480"/>
      <c r="J699" s="480"/>
      <c r="K699" s="480"/>
      <c r="L699" s="480"/>
      <c r="M699" s="480"/>
      <c r="N699" s="480"/>
      <c r="O699" s="480"/>
      <c r="P699" s="480"/>
      <c r="Q699" s="480"/>
    </row>
    <row r="700" spans="3:17">
      <c r="C700" s="685"/>
      <c r="D700" s="685"/>
      <c r="E700" s="480"/>
      <c r="F700" s="480"/>
      <c r="G700" s="480"/>
      <c r="H700" s="480"/>
      <c r="I700" s="480"/>
      <c r="J700" s="480"/>
      <c r="K700" s="480"/>
      <c r="L700" s="480"/>
      <c r="M700" s="480"/>
      <c r="N700" s="480"/>
      <c r="O700" s="480"/>
      <c r="P700" s="480"/>
      <c r="Q700" s="480"/>
    </row>
    <row r="701" spans="3:17">
      <c r="C701" s="685"/>
      <c r="D701" s="685"/>
      <c r="E701" s="480"/>
      <c r="F701" s="480"/>
      <c r="G701" s="480"/>
      <c r="H701" s="480"/>
      <c r="I701" s="480"/>
      <c r="J701" s="480"/>
      <c r="K701" s="480"/>
      <c r="L701" s="480"/>
      <c r="M701" s="480"/>
      <c r="N701" s="480"/>
      <c r="O701" s="480"/>
      <c r="P701" s="480"/>
      <c r="Q701" s="480"/>
    </row>
    <row r="702" spans="3:17">
      <c r="C702" s="685"/>
      <c r="D702" s="685"/>
      <c r="E702" s="480"/>
      <c r="F702" s="480"/>
      <c r="G702" s="480"/>
      <c r="H702" s="480"/>
      <c r="I702" s="480"/>
      <c r="J702" s="480"/>
      <c r="K702" s="480"/>
      <c r="L702" s="480"/>
      <c r="M702" s="480"/>
      <c r="N702" s="480"/>
      <c r="O702" s="480"/>
      <c r="P702" s="480"/>
      <c r="Q702" s="480"/>
    </row>
    <row r="703" spans="3:17">
      <c r="C703" s="685"/>
      <c r="D703" s="685"/>
      <c r="E703" s="480"/>
      <c r="F703" s="480"/>
      <c r="G703" s="480"/>
      <c r="H703" s="480"/>
      <c r="I703" s="480"/>
      <c r="J703" s="480"/>
      <c r="K703" s="480"/>
      <c r="L703" s="480"/>
      <c r="M703" s="480"/>
      <c r="N703" s="480"/>
      <c r="O703" s="480"/>
      <c r="P703" s="480"/>
      <c r="Q703" s="480"/>
    </row>
    <row r="704" spans="3:17">
      <c r="C704" s="685"/>
      <c r="D704" s="685"/>
      <c r="E704" s="480"/>
      <c r="F704" s="480"/>
      <c r="G704" s="480"/>
      <c r="H704" s="480"/>
      <c r="I704" s="480"/>
      <c r="J704" s="480"/>
      <c r="K704" s="480"/>
      <c r="L704" s="480"/>
      <c r="M704" s="480"/>
      <c r="N704" s="480"/>
      <c r="O704" s="480"/>
      <c r="P704" s="480"/>
      <c r="Q704" s="480"/>
    </row>
    <row r="705" spans="3:17">
      <c r="C705" s="685"/>
      <c r="D705" s="685"/>
      <c r="E705" s="480"/>
      <c r="F705" s="480"/>
      <c r="G705" s="480"/>
      <c r="H705" s="480"/>
      <c r="I705" s="480"/>
      <c r="J705" s="480"/>
      <c r="K705" s="480"/>
      <c r="L705" s="480"/>
      <c r="M705" s="480"/>
      <c r="N705" s="480"/>
      <c r="O705" s="480"/>
      <c r="P705" s="480"/>
      <c r="Q705" s="480"/>
    </row>
    <row r="706" spans="3:17">
      <c r="C706" s="685"/>
      <c r="D706" s="685"/>
      <c r="E706" s="480"/>
      <c r="F706" s="480"/>
      <c r="G706" s="480"/>
      <c r="H706" s="480"/>
      <c r="I706" s="480"/>
      <c r="J706" s="480"/>
      <c r="K706" s="480"/>
      <c r="L706" s="480"/>
      <c r="M706" s="480"/>
      <c r="N706" s="480"/>
      <c r="O706" s="480"/>
      <c r="P706" s="480"/>
      <c r="Q706" s="480"/>
    </row>
    <row r="707" spans="3:17">
      <c r="C707" s="685"/>
      <c r="D707" s="685"/>
      <c r="E707" s="480"/>
      <c r="F707" s="480"/>
      <c r="G707" s="480"/>
      <c r="H707" s="480"/>
      <c r="I707" s="480"/>
      <c r="J707" s="480"/>
      <c r="K707" s="480"/>
      <c r="L707" s="480"/>
      <c r="M707" s="480"/>
      <c r="N707" s="480"/>
      <c r="O707" s="480"/>
      <c r="P707" s="480"/>
      <c r="Q707" s="480"/>
    </row>
    <row r="708" spans="3:17">
      <c r="C708" s="685"/>
      <c r="D708" s="685"/>
      <c r="E708" s="480"/>
      <c r="F708" s="480"/>
      <c r="G708" s="480"/>
      <c r="H708" s="480"/>
      <c r="I708" s="480"/>
      <c r="J708" s="480"/>
      <c r="K708" s="480"/>
      <c r="L708" s="480"/>
      <c r="M708" s="480"/>
      <c r="N708" s="480"/>
      <c r="O708" s="480"/>
      <c r="P708" s="480"/>
      <c r="Q708" s="480"/>
    </row>
    <row r="709" spans="3:17">
      <c r="C709" s="685"/>
      <c r="D709" s="685"/>
      <c r="E709" s="480"/>
      <c r="F709" s="480"/>
      <c r="G709" s="480"/>
      <c r="H709" s="480"/>
      <c r="I709" s="480"/>
      <c r="J709" s="480"/>
      <c r="K709" s="480"/>
      <c r="L709" s="480"/>
      <c r="M709" s="480"/>
      <c r="N709" s="480"/>
      <c r="O709" s="480"/>
      <c r="P709" s="480"/>
      <c r="Q709" s="480"/>
    </row>
    <row r="710" spans="3:17">
      <c r="C710" s="685"/>
      <c r="D710" s="685"/>
      <c r="E710" s="480"/>
      <c r="F710" s="480"/>
      <c r="G710" s="480"/>
      <c r="H710" s="480"/>
      <c r="I710" s="480"/>
      <c r="J710" s="480"/>
      <c r="K710" s="480"/>
      <c r="L710" s="480"/>
      <c r="M710" s="480"/>
      <c r="N710" s="480"/>
      <c r="O710" s="480"/>
      <c r="P710" s="480"/>
      <c r="Q710" s="480"/>
    </row>
    <row r="711" spans="3:17">
      <c r="C711" s="685"/>
      <c r="D711" s="685"/>
      <c r="E711" s="480"/>
      <c r="F711" s="480"/>
      <c r="G711" s="480"/>
      <c r="H711" s="480"/>
      <c r="I711" s="480"/>
      <c r="J711" s="480"/>
      <c r="K711" s="480"/>
      <c r="L711" s="480"/>
      <c r="M711" s="480"/>
      <c r="N711" s="480"/>
      <c r="O711" s="480"/>
      <c r="P711" s="480"/>
      <c r="Q711" s="480"/>
    </row>
    <row r="712" spans="3:17">
      <c r="C712" s="685"/>
      <c r="D712" s="685"/>
      <c r="E712" s="480"/>
      <c r="F712" s="480"/>
      <c r="G712" s="480"/>
      <c r="H712" s="480"/>
      <c r="I712" s="480"/>
      <c r="J712" s="480"/>
      <c r="K712" s="480"/>
      <c r="L712" s="480"/>
      <c r="M712" s="480"/>
      <c r="N712" s="480"/>
      <c r="O712" s="480"/>
      <c r="P712" s="480"/>
      <c r="Q712" s="480"/>
    </row>
    <row r="713" spans="3:17">
      <c r="C713" s="685"/>
      <c r="D713" s="685"/>
      <c r="E713" s="480"/>
      <c r="F713" s="480"/>
      <c r="G713" s="480"/>
      <c r="H713" s="480"/>
      <c r="I713" s="480"/>
      <c r="J713" s="480"/>
      <c r="K713" s="480"/>
      <c r="L713" s="480"/>
      <c r="M713" s="480"/>
      <c r="N713" s="480"/>
      <c r="O713" s="480"/>
      <c r="P713" s="480"/>
      <c r="Q713" s="480"/>
    </row>
    <row r="714" spans="3:17">
      <c r="C714" s="685"/>
      <c r="D714" s="685"/>
      <c r="E714" s="480"/>
      <c r="F714" s="480"/>
      <c r="G714" s="480"/>
      <c r="H714" s="480"/>
      <c r="I714" s="480"/>
      <c r="J714" s="480"/>
      <c r="K714" s="480"/>
      <c r="L714" s="480"/>
      <c r="M714" s="480"/>
      <c r="N714" s="480"/>
      <c r="O714" s="480"/>
      <c r="P714" s="480"/>
      <c r="Q714" s="480"/>
    </row>
    <row r="715" spans="3:17">
      <c r="C715" s="685"/>
      <c r="D715" s="685"/>
      <c r="E715" s="480"/>
      <c r="F715" s="480"/>
      <c r="G715" s="480"/>
      <c r="H715" s="480"/>
      <c r="I715" s="480"/>
      <c r="J715" s="480"/>
      <c r="K715" s="480"/>
      <c r="L715" s="480"/>
      <c r="M715" s="480"/>
      <c r="N715" s="480"/>
      <c r="O715" s="480"/>
      <c r="P715" s="480"/>
      <c r="Q715" s="480"/>
    </row>
    <row r="716" spans="3:17">
      <c r="C716" s="685"/>
      <c r="D716" s="685"/>
      <c r="E716" s="480"/>
      <c r="F716" s="480"/>
      <c r="G716" s="480"/>
      <c r="H716" s="480"/>
      <c r="I716" s="480"/>
      <c r="J716" s="480"/>
      <c r="K716" s="480"/>
      <c r="L716" s="480"/>
      <c r="M716" s="480"/>
      <c r="N716" s="480"/>
      <c r="O716" s="480"/>
      <c r="P716" s="480"/>
      <c r="Q716" s="480"/>
    </row>
    <row r="717" spans="3:17">
      <c r="C717" s="685"/>
      <c r="D717" s="685"/>
      <c r="E717" s="480"/>
      <c r="F717" s="480"/>
      <c r="G717" s="480"/>
      <c r="H717" s="480"/>
      <c r="I717" s="480"/>
      <c r="J717" s="480"/>
      <c r="K717" s="480"/>
      <c r="L717" s="480"/>
      <c r="M717" s="480"/>
      <c r="N717" s="480"/>
      <c r="O717" s="480"/>
      <c r="P717" s="480"/>
      <c r="Q717" s="480"/>
    </row>
    <row r="718" spans="3:17">
      <c r="C718" s="685"/>
      <c r="D718" s="685"/>
      <c r="E718" s="480"/>
      <c r="F718" s="480"/>
      <c r="G718" s="480"/>
      <c r="H718" s="480"/>
      <c r="I718" s="480"/>
      <c r="J718" s="480"/>
      <c r="K718" s="480"/>
      <c r="L718" s="480"/>
      <c r="M718" s="480"/>
      <c r="N718" s="480"/>
      <c r="O718" s="480"/>
      <c r="P718" s="480"/>
      <c r="Q718" s="480"/>
    </row>
    <row r="719" spans="3:17">
      <c r="C719" s="685"/>
      <c r="D719" s="685"/>
      <c r="E719" s="480"/>
      <c r="F719" s="480"/>
      <c r="G719" s="480"/>
      <c r="H719" s="480"/>
      <c r="I719" s="480"/>
      <c r="J719" s="480"/>
      <c r="K719" s="480"/>
      <c r="L719" s="480"/>
      <c r="M719" s="480"/>
      <c r="N719" s="480"/>
      <c r="O719" s="480"/>
      <c r="P719" s="480"/>
      <c r="Q719" s="480"/>
    </row>
    <row r="720" spans="3:17">
      <c r="C720" s="685"/>
      <c r="D720" s="685"/>
      <c r="E720" s="480"/>
      <c r="F720" s="480"/>
      <c r="G720" s="480"/>
      <c r="H720" s="480"/>
      <c r="I720" s="480"/>
      <c r="J720" s="480"/>
      <c r="K720" s="480"/>
      <c r="L720" s="480"/>
      <c r="M720" s="480"/>
      <c r="N720" s="480"/>
      <c r="O720" s="480"/>
      <c r="P720" s="480"/>
      <c r="Q720" s="480"/>
    </row>
    <row r="721" spans="3:17">
      <c r="C721" s="685"/>
      <c r="D721" s="685"/>
      <c r="E721" s="480"/>
      <c r="F721" s="480"/>
      <c r="G721" s="480"/>
      <c r="H721" s="480"/>
      <c r="I721" s="480"/>
      <c r="J721" s="480"/>
      <c r="K721" s="480"/>
      <c r="L721" s="480"/>
      <c r="M721" s="480"/>
      <c r="N721" s="480"/>
      <c r="O721" s="480"/>
      <c r="P721" s="480"/>
      <c r="Q721" s="480"/>
    </row>
    <row r="722" spans="3:17">
      <c r="C722" s="685"/>
      <c r="D722" s="685"/>
      <c r="E722" s="480"/>
      <c r="F722" s="480"/>
      <c r="G722" s="480"/>
      <c r="H722" s="480"/>
      <c r="I722" s="480"/>
      <c r="J722" s="480"/>
      <c r="K722" s="480"/>
      <c r="L722" s="480"/>
      <c r="M722" s="480"/>
      <c r="N722" s="480"/>
      <c r="O722" s="480"/>
      <c r="P722" s="480"/>
      <c r="Q722" s="480"/>
    </row>
    <row r="723" spans="3:17">
      <c r="C723" s="685"/>
      <c r="D723" s="685"/>
      <c r="E723" s="480"/>
      <c r="F723" s="480"/>
      <c r="G723" s="480"/>
      <c r="H723" s="480"/>
      <c r="I723" s="480"/>
      <c r="J723" s="480"/>
      <c r="K723" s="480"/>
      <c r="L723" s="480"/>
      <c r="M723" s="480"/>
      <c r="N723" s="480"/>
      <c r="O723" s="480"/>
      <c r="P723" s="480"/>
      <c r="Q723" s="480"/>
    </row>
    <row r="724" spans="3:17">
      <c r="C724" s="685"/>
      <c r="D724" s="685"/>
      <c r="E724" s="480"/>
      <c r="F724" s="480"/>
      <c r="G724" s="480"/>
      <c r="H724" s="480"/>
      <c r="I724" s="480"/>
      <c r="J724" s="480"/>
      <c r="K724" s="480"/>
      <c r="L724" s="480"/>
      <c r="M724" s="480"/>
      <c r="N724" s="480"/>
      <c r="O724" s="480"/>
      <c r="P724" s="480"/>
      <c r="Q724" s="480"/>
    </row>
    <row r="725" spans="3:17">
      <c r="C725" s="685"/>
      <c r="D725" s="685"/>
      <c r="E725" s="480"/>
      <c r="F725" s="480"/>
      <c r="G725" s="480"/>
      <c r="H725" s="480"/>
      <c r="I725" s="480"/>
      <c r="J725" s="480"/>
      <c r="K725" s="480"/>
      <c r="L725" s="480"/>
      <c r="M725" s="480"/>
      <c r="N725" s="480"/>
      <c r="O725" s="480"/>
      <c r="P725" s="480"/>
      <c r="Q725" s="480"/>
    </row>
    <row r="726" spans="3:17">
      <c r="C726" s="685"/>
      <c r="D726" s="685"/>
      <c r="E726" s="480"/>
      <c r="F726" s="480"/>
      <c r="G726" s="480"/>
      <c r="H726" s="480"/>
      <c r="I726" s="480"/>
      <c r="J726" s="480"/>
      <c r="K726" s="480"/>
      <c r="L726" s="480"/>
      <c r="M726" s="480"/>
      <c r="N726" s="480"/>
      <c r="O726" s="480"/>
      <c r="P726" s="480"/>
      <c r="Q726" s="480"/>
    </row>
    <row r="727" spans="3:17">
      <c r="C727" s="685"/>
      <c r="D727" s="685"/>
      <c r="E727" s="480"/>
      <c r="F727" s="480"/>
      <c r="G727" s="480"/>
      <c r="H727" s="480"/>
      <c r="I727" s="480"/>
      <c r="J727" s="480"/>
      <c r="K727" s="480"/>
      <c r="L727" s="480"/>
      <c r="M727" s="480"/>
      <c r="N727" s="480"/>
      <c r="O727" s="480"/>
      <c r="P727" s="480"/>
      <c r="Q727" s="480"/>
    </row>
    <row r="728" spans="3:17">
      <c r="C728" s="685"/>
      <c r="D728" s="685"/>
      <c r="E728" s="480"/>
      <c r="F728" s="480"/>
      <c r="G728" s="480"/>
      <c r="H728" s="480"/>
      <c r="I728" s="480"/>
      <c r="J728" s="480"/>
      <c r="K728" s="480"/>
      <c r="L728" s="480"/>
      <c r="M728" s="480"/>
      <c r="N728" s="480"/>
      <c r="O728" s="480"/>
      <c r="P728" s="480"/>
      <c r="Q728" s="480"/>
    </row>
    <row r="729" spans="3:17">
      <c r="C729" s="685"/>
      <c r="D729" s="685"/>
      <c r="E729" s="480"/>
      <c r="F729" s="480"/>
      <c r="G729" s="480"/>
      <c r="H729" s="480"/>
      <c r="I729" s="480"/>
      <c r="J729" s="480"/>
      <c r="K729" s="480"/>
      <c r="L729" s="480"/>
      <c r="M729" s="480"/>
      <c r="N729" s="480"/>
      <c r="O729" s="480"/>
      <c r="P729" s="480"/>
      <c r="Q729" s="480"/>
    </row>
    <row r="730" spans="3:17">
      <c r="C730" s="685"/>
      <c r="D730" s="685"/>
      <c r="E730" s="480"/>
      <c r="F730" s="480"/>
      <c r="G730" s="480"/>
      <c r="H730" s="480"/>
      <c r="I730" s="480"/>
      <c r="J730" s="480"/>
      <c r="K730" s="480"/>
      <c r="L730" s="480"/>
      <c r="M730" s="480"/>
      <c r="N730" s="480"/>
      <c r="O730" s="480"/>
      <c r="P730" s="480"/>
      <c r="Q730" s="480"/>
    </row>
    <row r="731" spans="3:17">
      <c r="C731" s="685"/>
      <c r="D731" s="685"/>
      <c r="E731" s="480"/>
      <c r="F731" s="480"/>
      <c r="G731" s="480"/>
      <c r="H731" s="480"/>
      <c r="I731" s="480"/>
      <c r="J731" s="480"/>
      <c r="K731" s="480"/>
      <c r="L731" s="480"/>
      <c r="M731" s="480"/>
      <c r="N731" s="480"/>
      <c r="O731" s="480"/>
      <c r="P731" s="480"/>
      <c r="Q731" s="480"/>
    </row>
    <row r="732" spans="3:17">
      <c r="C732" s="685"/>
      <c r="D732" s="685"/>
      <c r="E732" s="480"/>
      <c r="F732" s="480"/>
      <c r="G732" s="480"/>
      <c r="H732" s="480"/>
      <c r="I732" s="480"/>
      <c r="J732" s="480"/>
      <c r="K732" s="480"/>
      <c r="L732" s="480"/>
      <c r="M732" s="480"/>
      <c r="N732" s="480"/>
      <c r="O732" s="480"/>
      <c r="P732" s="480"/>
      <c r="Q732" s="480"/>
    </row>
    <row r="733" spans="3:17">
      <c r="C733" s="685"/>
      <c r="D733" s="685"/>
      <c r="E733" s="480"/>
      <c r="F733" s="480"/>
      <c r="G733" s="480"/>
      <c r="H733" s="480"/>
      <c r="I733" s="480"/>
      <c r="J733" s="480"/>
      <c r="K733" s="480"/>
      <c r="L733" s="480"/>
      <c r="M733" s="480"/>
      <c r="N733" s="480"/>
      <c r="O733" s="480"/>
      <c r="P733" s="480"/>
      <c r="Q733" s="480"/>
    </row>
    <row r="734" spans="3:17">
      <c r="C734" s="685"/>
      <c r="D734" s="685"/>
      <c r="E734" s="480"/>
      <c r="F734" s="480"/>
      <c r="G734" s="480"/>
      <c r="H734" s="480"/>
      <c r="I734" s="480"/>
      <c r="J734" s="480"/>
      <c r="K734" s="480"/>
      <c r="L734" s="480"/>
      <c r="M734" s="480"/>
      <c r="N734" s="480"/>
      <c r="O734" s="480"/>
      <c r="P734" s="480"/>
      <c r="Q734" s="480"/>
    </row>
    <row r="735" spans="3:17">
      <c r="C735" s="685"/>
      <c r="D735" s="685"/>
      <c r="E735" s="480"/>
      <c r="F735" s="480"/>
      <c r="G735" s="480"/>
      <c r="H735" s="480"/>
      <c r="I735" s="480"/>
      <c r="J735" s="480"/>
      <c r="K735" s="480"/>
      <c r="L735" s="480"/>
      <c r="M735" s="480"/>
      <c r="N735" s="480"/>
      <c r="O735" s="480"/>
      <c r="P735" s="480"/>
      <c r="Q735" s="480"/>
    </row>
    <row r="736" spans="3:17">
      <c r="C736" s="685"/>
      <c r="D736" s="685"/>
      <c r="E736" s="480"/>
      <c r="F736" s="480"/>
      <c r="G736" s="480"/>
      <c r="H736" s="480"/>
      <c r="I736" s="480"/>
      <c r="J736" s="480"/>
      <c r="K736" s="480"/>
      <c r="L736" s="480"/>
      <c r="M736" s="480"/>
      <c r="N736" s="480"/>
      <c r="O736" s="480"/>
      <c r="P736" s="480"/>
      <c r="Q736" s="480"/>
    </row>
    <row r="737" spans="3:17">
      <c r="C737" s="685"/>
      <c r="D737" s="685"/>
      <c r="E737" s="480"/>
      <c r="F737" s="480"/>
      <c r="G737" s="480"/>
      <c r="H737" s="480"/>
      <c r="I737" s="480"/>
      <c r="J737" s="480"/>
      <c r="K737" s="480"/>
      <c r="L737" s="480"/>
      <c r="M737" s="480"/>
      <c r="N737" s="480"/>
      <c r="O737" s="480"/>
      <c r="P737" s="480"/>
      <c r="Q737" s="480"/>
    </row>
    <row r="738" spans="3:17">
      <c r="C738" s="685"/>
      <c r="D738" s="685"/>
      <c r="E738" s="480"/>
      <c r="F738" s="480"/>
      <c r="G738" s="480"/>
      <c r="H738" s="480"/>
      <c r="I738" s="480"/>
      <c r="J738" s="480"/>
      <c r="K738" s="480"/>
      <c r="L738" s="480"/>
      <c r="M738" s="480"/>
      <c r="N738" s="480"/>
      <c r="O738" s="480"/>
      <c r="P738" s="480"/>
      <c r="Q738" s="480"/>
    </row>
    <row r="739" spans="3:17">
      <c r="C739" s="685"/>
      <c r="D739" s="685"/>
      <c r="E739" s="480"/>
      <c r="F739" s="480"/>
      <c r="G739" s="480"/>
      <c r="H739" s="480"/>
      <c r="I739" s="480"/>
      <c r="J739" s="480"/>
      <c r="K739" s="480"/>
      <c r="L739" s="480"/>
      <c r="M739" s="480"/>
      <c r="N739" s="480"/>
      <c r="O739" s="480"/>
      <c r="P739" s="480"/>
      <c r="Q739" s="480"/>
    </row>
    <row r="740" spans="3:17">
      <c r="C740" s="685"/>
      <c r="D740" s="685"/>
      <c r="E740" s="480"/>
      <c r="F740" s="480"/>
      <c r="G740" s="480"/>
      <c r="H740" s="480"/>
      <c r="I740" s="480"/>
      <c r="J740" s="480"/>
      <c r="K740" s="480"/>
      <c r="L740" s="480"/>
      <c r="M740" s="480"/>
      <c r="N740" s="480"/>
      <c r="O740" s="480"/>
      <c r="P740" s="480"/>
      <c r="Q740" s="480"/>
    </row>
    <row r="741" spans="3:17">
      <c r="C741" s="685"/>
      <c r="D741" s="685"/>
      <c r="E741" s="480"/>
      <c r="F741" s="480"/>
      <c r="G741" s="480"/>
      <c r="H741" s="480"/>
      <c r="I741" s="480"/>
      <c r="J741" s="480"/>
      <c r="K741" s="480"/>
      <c r="L741" s="480"/>
      <c r="M741" s="480"/>
      <c r="N741" s="480"/>
      <c r="O741" s="480"/>
      <c r="P741" s="480"/>
      <c r="Q741" s="480"/>
    </row>
    <row r="742" spans="3:17">
      <c r="C742" s="685"/>
      <c r="D742" s="685"/>
      <c r="E742" s="480"/>
      <c r="F742" s="480"/>
      <c r="G742" s="480"/>
      <c r="H742" s="480"/>
      <c r="I742" s="480"/>
      <c r="J742" s="480"/>
      <c r="K742" s="480"/>
      <c r="L742" s="480"/>
      <c r="M742" s="480"/>
      <c r="N742" s="480"/>
      <c r="O742" s="480"/>
      <c r="P742" s="480"/>
      <c r="Q742" s="480"/>
    </row>
    <row r="743" spans="3:17">
      <c r="C743" s="685"/>
      <c r="D743" s="685"/>
      <c r="E743" s="480"/>
      <c r="F743" s="480"/>
      <c r="G743" s="480"/>
      <c r="H743" s="480"/>
      <c r="I743" s="480"/>
      <c r="J743" s="480"/>
      <c r="K743" s="480"/>
      <c r="L743" s="480"/>
      <c r="M743" s="480"/>
      <c r="N743" s="480"/>
      <c r="O743" s="480"/>
      <c r="P743" s="480"/>
      <c r="Q743" s="480"/>
    </row>
    <row r="744" spans="3:17">
      <c r="C744" s="685"/>
      <c r="D744" s="685"/>
      <c r="E744" s="480"/>
      <c r="F744" s="480"/>
      <c r="G744" s="480"/>
      <c r="H744" s="480"/>
      <c r="I744" s="480"/>
      <c r="J744" s="480"/>
      <c r="K744" s="480"/>
      <c r="L744" s="480"/>
      <c r="M744" s="480"/>
      <c r="N744" s="480"/>
      <c r="O744" s="480"/>
      <c r="P744" s="480"/>
      <c r="Q744" s="480"/>
    </row>
    <row r="745" spans="3:17">
      <c r="C745" s="685"/>
      <c r="D745" s="685"/>
      <c r="E745" s="480"/>
      <c r="F745" s="480"/>
      <c r="G745" s="480"/>
      <c r="H745" s="480"/>
      <c r="I745" s="480"/>
      <c r="J745" s="480"/>
      <c r="K745" s="480"/>
      <c r="L745" s="480"/>
      <c r="M745" s="480"/>
      <c r="N745" s="480"/>
      <c r="O745" s="480"/>
      <c r="P745" s="480"/>
      <c r="Q745" s="480"/>
    </row>
    <row r="746" spans="3:17">
      <c r="C746" s="685"/>
      <c r="D746" s="685"/>
      <c r="E746" s="480"/>
      <c r="F746" s="480"/>
      <c r="G746" s="480"/>
      <c r="H746" s="480"/>
      <c r="I746" s="480"/>
      <c r="J746" s="480"/>
      <c r="K746" s="480"/>
      <c r="L746" s="480"/>
      <c r="M746" s="480"/>
      <c r="N746" s="480"/>
      <c r="O746" s="480"/>
      <c r="P746" s="480"/>
      <c r="Q746" s="480"/>
    </row>
    <row r="747" spans="3:17">
      <c r="C747" s="685"/>
      <c r="D747" s="685"/>
      <c r="E747" s="480"/>
      <c r="F747" s="480"/>
      <c r="G747" s="480"/>
      <c r="H747" s="480"/>
      <c r="I747" s="480"/>
      <c r="J747" s="480"/>
      <c r="K747" s="480"/>
      <c r="L747" s="480"/>
      <c r="M747" s="480"/>
      <c r="N747" s="480"/>
      <c r="O747" s="480"/>
      <c r="P747" s="480"/>
      <c r="Q747" s="480"/>
    </row>
    <row r="748" spans="3:17">
      <c r="C748" s="685"/>
      <c r="D748" s="685"/>
      <c r="E748" s="480"/>
      <c r="F748" s="480"/>
      <c r="G748" s="480"/>
      <c r="H748" s="480"/>
      <c r="I748" s="480"/>
      <c r="J748" s="480"/>
      <c r="K748" s="480"/>
      <c r="L748" s="480"/>
      <c r="M748" s="480"/>
      <c r="N748" s="480"/>
      <c r="O748" s="480"/>
      <c r="P748" s="480"/>
      <c r="Q748" s="480"/>
    </row>
    <row r="749" spans="3:17">
      <c r="C749" s="685"/>
      <c r="D749" s="685"/>
      <c r="E749" s="480"/>
      <c r="F749" s="480"/>
      <c r="G749" s="480"/>
      <c r="H749" s="480"/>
      <c r="I749" s="480"/>
      <c r="J749" s="480"/>
      <c r="K749" s="480"/>
      <c r="L749" s="480"/>
      <c r="M749" s="480"/>
      <c r="N749" s="480"/>
      <c r="O749" s="480"/>
      <c r="P749" s="480"/>
      <c r="Q749" s="480"/>
    </row>
    <row r="750" spans="3:17">
      <c r="C750" s="685"/>
      <c r="D750" s="685"/>
      <c r="E750" s="480"/>
      <c r="F750" s="480"/>
      <c r="G750" s="480"/>
      <c r="H750" s="480"/>
      <c r="I750" s="480"/>
      <c r="J750" s="480"/>
      <c r="K750" s="480"/>
      <c r="L750" s="480"/>
      <c r="M750" s="480"/>
      <c r="N750" s="480"/>
      <c r="O750" s="480"/>
      <c r="P750" s="480"/>
      <c r="Q750" s="480"/>
    </row>
    <row r="751" spans="3:17">
      <c r="C751" s="685"/>
      <c r="D751" s="685"/>
      <c r="E751" s="480"/>
      <c r="F751" s="480"/>
      <c r="G751" s="480"/>
      <c r="H751" s="480"/>
      <c r="I751" s="480"/>
      <c r="J751" s="480"/>
      <c r="K751" s="480"/>
      <c r="L751" s="480"/>
      <c r="M751" s="480"/>
      <c r="N751" s="480"/>
      <c r="O751" s="480"/>
      <c r="P751" s="480"/>
      <c r="Q751" s="480"/>
    </row>
    <row r="752" spans="3:17">
      <c r="C752" s="685"/>
      <c r="D752" s="685"/>
      <c r="E752" s="480"/>
      <c r="F752" s="480"/>
      <c r="G752" s="480"/>
      <c r="H752" s="480"/>
      <c r="I752" s="480"/>
      <c r="J752" s="480"/>
      <c r="K752" s="480"/>
      <c r="L752" s="480"/>
      <c r="M752" s="480"/>
      <c r="N752" s="480"/>
      <c r="O752" s="480"/>
      <c r="P752" s="480"/>
      <c r="Q752" s="480"/>
    </row>
    <row r="753" spans="3:17">
      <c r="C753" s="685"/>
      <c r="D753" s="685"/>
      <c r="E753" s="480"/>
      <c r="F753" s="480"/>
      <c r="G753" s="480"/>
      <c r="H753" s="480"/>
      <c r="I753" s="480"/>
      <c r="J753" s="480"/>
      <c r="K753" s="480"/>
      <c r="L753" s="480"/>
      <c r="M753" s="480"/>
      <c r="N753" s="480"/>
      <c r="O753" s="480"/>
      <c r="P753" s="480"/>
      <c r="Q753" s="480"/>
    </row>
    <row r="754" spans="3:17">
      <c r="C754" s="685"/>
      <c r="D754" s="685"/>
      <c r="E754" s="480"/>
      <c r="F754" s="480"/>
      <c r="G754" s="480"/>
      <c r="H754" s="480"/>
      <c r="I754" s="480"/>
      <c r="J754" s="480"/>
      <c r="K754" s="480"/>
      <c r="L754" s="480"/>
      <c r="M754" s="480"/>
      <c r="N754" s="480"/>
      <c r="O754" s="480"/>
      <c r="P754" s="480"/>
      <c r="Q754" s="480"/>
    </row>
    <row r="755" spans="3:17">
      <c r="C755" s="685"/>
      <c r="D755" s="685"/>
      <c r="E755" s="480"/>
      <c r="F755" s="480"/>
      <c r="G755" s="480"/>
      <c r="H755" s="480"/>
      <c r="I755" s="480"/>
      <c r="J755" s="480"/>
      <c r="K755" s="480"/>
      <c r="L755" s="480"/>
      <c r="M755" s="480"/>
      <c r="N755" s="480"/>
      <c r="O755" s="480"/>
      <c r="P755" s="480"/>
      <c r="Q755" s="480"/>
    </row>
    <row r="756" spans="3:17">
      <c r="C756" s="685"/>
      <c r="D756" s="685"/>
      <c r="E756" s="480"/>
      <c r="F756" s="480"/>
      <c r="G756" s="480"/>
      <c r="H756" s="480"/>
      <c r="I756" s="480"/>
      <c r="J756" s="480"/>
      <c r="K756" s="480"/>
      <c r="L756" s="480"/>
      <c r="M756" s="480"/>
      <c r="N756" s="480"/>
      <c r="O756" s="480"/>
      <c r="P756" s="480"/>
      <c r="Q756" s="480"/>
    </row>
    <row r="757" spans="3:17">
      <c r="C757" s="685"/>
      <c r="D757" s="685"/>
      <c r="E757" s="480"/>
      <c r="F757" s="480"/>
      <c r="G757" s="480"/>
      <c r="H757" s="480"/>
      <c r="I757" s="480"/>
      <c r="J757" s="480"/>
      <c r="K757" s="480"/>
      <c r="L757" s="480"/>
      <c r="M757" s="480"/>
      <c r="N757" s="480"/>
      <c r="O757" s="480"/>
      <c r="P757" s="480"/>
      <c r="Q757" s="480"/>
    </row>
    <row r="758" spans="3:17">
      <c r="C758" s="685"/>
      <c r="D758" s="685"/>
      <c r="E758" s="480"/>
      <c r="F758" s="480"/>
      <c r="G758" s="480"/>
      <c r="H758" s="480"/>
      <c r="I758" s="480"/>
      <c r="J758" s="480"/>
      <c r="K758" s="480"/>
      <c r="L758" s="480"/>
      <c r="M758" s="480"/>
      <c r="N758" s="480"/>
      <c r="O758" s="480"/>
      <c r="P758" s="480"/>
      <c r="Q758" s="480"/>
    </row>
    <row r="759" spans="3:17">
      <c r="C759" s="685"/>
      <c r="D759" s="685"/>
      <c r="E759" s="480"/>
      <c r="F759" s="480"/>
      <c r="G759" s="480"/>
      <c r="H759" s="480"/>
      <c r="I759" s="480"/>
      <c r="J759" s="480"/>
      <c r="K759" s="480"/>
      <c r="L759" s="480"/>
      <c r="M759" s="480"/>
      <c r="N759" s="480"/>
      <c r="O759" s="480"/>
      <c r="P759" s="480"/>
      <c r="Q759" s="480"/>
    </row>
    <row r="760" spans="3:17">
      <c r="C760" s="685"/>
      <c r="D760" s="685"/>
      <c r="E760" s="480"/>
      <c r="F760" s="480"/>
      <c r="G760" s="480"/>
      <c r="H760" s="480"/>
      <c r="I760" s="480"/>
      <c r="J760" s="480"/>
      <c r="K760" s="480"/>
      <c r="L760" s="480"/>
      <c r="M760" s="480"/>
      <c r="N760" s="480"/>
      <c r="O760" s="480"/>
      <c r="P760" s="480"/>
      <c r="Q760" s="480"/>
    </row>
    <row r="761" spans="3:17">
      <c r="C761" s="685"/>
      <c r="D761" s="685"/>
      <c r="E761" s="480"/>
      <c r="F761" s="480"/>
      <c r="G761" s="480"/>
      <c r="H761" s="480"/>
      <c r="I761" s="480"/>
      <c r="J761" s="480"/>
      <c r="K761" s="480"/>
      <c r="L761" s="480"/>
      <c r="M761" s="480"/>
      <c r="N761" s="480"/>
      <c r="O761" s="480"/>
      <c r="P761" s="480"/>
      <c r="Q761" s="480"/>
    </row>
    <row r="762" spans="3:17">
      <c r="C762" s="685"/>
      <c r="D762" s="685"/>
      <c r="E762" s="480"/>
      <c r="F762" s="480"/>
      <c r="G762" s="480"/>
      <c r="H762" s="480"/>
      <c r="I762" s="480"/>
      <c r="J762" s="480"/>
      <c r="K762" s="480"/>
      <c r="L762" s="480"/>
      <c r="M762" s="480"/>
      <c r="N762" s="480"/>
      <c r="O762" s="480"/>
      <c r="P762" s="480"/>
      <c r="Q762" s="480"/>
    </row>
    <row r="763" spans="3:17">
      <c r="C763" s="685"/>
      <c r="D763" s="685"/>
      <c r="E763" s="480"/>
      <c r="F763" s="480"/>
      <c r="G763" s="480"/>
      <c r="H763" s="480"/>
      <c r="I763" s="480"/>
      <c r="J763" s="480"/>
      <c r="K763" s="480"/>
      <c r="L763" s="480"/>
      <c r="M763" s="480"/>
      <c r="N763" s="480"/>
      <c r="O763" s="480"/>
      <c r="P763" s="480"/>
      <c r="Q763" s="480"/>
    </row>
    <row r="764" spans="3:17">
      <c r="C764" s="685"/>
      <c r="D764" s="685"/>
      <c r="E764" s="480"/>
      <c r="F764" s="480"/>
      <c r="G764" s="480"/>
      <c r="H764" s="480"/>
      <c r="I764" s="480"/>
      <c r="J764" s="480"/>
      <c r="K764" s="480"/>
      <c r="L764" s="480"/>
      <c r="M764" s="480"/>
      <c r="N764" s="480"/>
      <c r="O764" s="480"/>
      <c r="P764" s="480"/>
      <c r="Q764" s="480"/>
    </row>
    <row r="765" spans="3:17">
      <c r="C765" s="685"/>
      <c r="D765" s="685"/>
      <c r="E765" s="480"/>
      <c r="F765" s="480"/>
      <c r="G765" s="480"/>
      <c r="H765" s="480"/>
      <c r="I765" s="480"/>
      <c r="J765" s="480"/>
      <c r="K765" s="480"/>
      <c r="L765" s="480"/>
      <c r="M765" s="480"/>
      <c r="N765" s="480"/>
      <c r="O765" s="480"/>
      <c r="P765" s="480"/>
      <c r="Q765" s="480"/>
    </row>
    <row r="766" spans="3:17">
      <c r="C766" s="685"/>
      <c r="D766" s="685"/>
      <c r="E766" s="480"/>
      <c r="F766" s="480"/>
      <c r="G766" s="480"/>
      <c r="H766" s="480"/>
      <c r="I766" s="480"/>
      <c r="J766" s="480"/>
      <c r="K766" s="480"/>
      <c r="L766" s="480"/>
      <c r="M766" s="480"/>
      <c r="N766" s="480"/>
      <c r="O766" s="480"/>
      <c r="P766" s="480"/>
      <c r="Q766" s="480"/>
    </row>
    <row r="767" spans="3:17">
      <c r="C767" s="685"/>
      <c r="D767" s="685"/>
      <c r="E767" s="480"/>
      <c r="F767" s="480"/>
      <c r="G767" s="480"/>
      <c r="H767" s="480"/>
      <c r="I767" s="480"/>
      <c r="J767" s="480"/>
      <c r="K767" s="480"/>
      <c r="L767" s="480"/>
      <c r="M767" s="480"/>
      <c r="N767" s="480"/>
      <c r="O767" s="480"/>
      <c r="P767" s="480"/>
      <c r="Q767" s="480"/>
    </row>
    <row r="768" spans="3:17">
      <c r="C768" s="685"/>
      <c r="D768" s="685"/>
      <c r="E768" s="480"/>
      <c r="F768" s="480"/>
      <c r="G768" s="480"/>
      <c r="H768" s="480"/>
      <c r="I768" s="480"/>
      <c r="J768" s="480"/>
      <c r="K768" s="480"/>
      <c r="L768" s="480"/>
      <c r="M768" s="480"/>
      <c r="N768" s="480"/>
      <c r="O768" s="480"/>
      <c r="P768" s="480"/>
      <c r="Q768" s="480"/>
    </row>
    <row r="769" spans="3:17">
      <c r="C769" s="685"/>
      <c r="D769" s="685"/>
      <c r="E769" s="480"/>
      <c r="F769" s="480"/>
      <c r="G769" s="480"/>
      <c r="H769" s="480"/>
      <c r="I769" s="480"/>
      <c r="J769" s="480"/>
      <c r="K769" s="480"/>
      <c r="L769" s="480"/>
      <c r="M769" s="480"/>
      <c r="N769" s="480"/>
      <c r="O769" s="480"/>
      <c r="P769" s="480"/>
      <c r="Q769" s="480"/>
    </row>
    <row r="770" spans="3:17">
      <c r="C770" s="685"/>
      <c r="D770" s="685"/>
      <c r="E770" s="480"/>
      <c r="F770" s="480"/>
      <c r="G770" s="480"/>
      <c r="H770" s="480"/>
      <c r="I770" s="480"/>
      <c r="J770" s="480"/>
      <c r="K770" s="480"/>
      <c r="L770" s="480"/>
      <c r="M770" s="480"/>
      <c r="N770" s="480"/>
      <c r="O770" s="480"/>
      <c r="P770" s="480"/>
      <c r="Q770" s="480"/>
    </row>
    <row r="771" spans="3:17">
      <c r="C771" s="685"/>
      <c r="D771" s="685"/>
      <c r="E771" s="480"/>
      <c r="F771" s="480"/>
      <c r="G771" s="480"/>
      <c r="H771" s="480"/>
      <c r="I771" s="480"/>
      <c r="J771" s="480"/>
      <c r="K771" s="480"/>
      <c r="L771" s="480"/>
      <c r="M771" s="480"/>
      <c r="N771" s="480"/>
      <c r="O771" s="480"/>
      <c r="P771" s="480"/>
      <c r="Q771" s="480"/>
    </row>
    <row r="772" spans="3:17">
      <c r="C772" s="685"/>
      <c r="D772" s="685"/>
      <c r="E772" s="480"/>
      <c r="F772" s="480"/>
      <c r="G772" s="480"/>
      <c r="H772" s="480"/>
      <c r="I772" s="480"/>
      <c r="J772" s="480"/>
      <c r="K772" s="480"/>
      <c r="L772" s="480"/>
      <c r="M772" s="480"/>
      <c r="N772" s="480"/>
      <c r="O772" s="480"/>
      <c r="P772" s="480"/>
      <c r="Q772" s="480"/>
    </row>
    <row r="773" spans="3:17">
      <c r="C773" s="685"/>
      <c r="D773" s="685"/>
      <c r="E773" s="480"/>
      <c r="F773" s="480"/>
      <c r="G773" s="480"/>
      <c r="H773" s="480"/>
      <c r="I773" s="480"/>
      <c r="J773" s="480"/>
      <c r="K773" s="480"/>
      <c r="L773" s="480"/>
      <c r="M773" s="480"/>
      <c r="N773" s="480"/>
      <c r="O773" s="480"/>
      <c r="P773" s="480"/>
      <c r="Q773" s="480"/>
    </row>
    <row r="774" spans="3:17">
      <c r="C774" s="685"/>
      <c r="D774" s="685"/>
      <c r="E774" s="480"/>
      <c r="F774" s="480"/>
      <c r="G774" s="480"/>
      <c r="H774" s="480"/>
      <c r="I774" s="480"/>
      <c r="J774" s="480"/>
      <c r="K774" s="480"/>
      <c r="L774" s="480"/>
      <c r="M774" s="480"/>
      <c r="N774" s="480"/>
      <c r="O774" s="480"/>
      <c r="P774" s="480"/>
      <c r="Q774" s="480"/>
    </row>
    <row r="775" spans="3:17">
      <c r="C775" s="685"/>
      <c r="D775" s="685"/>
      <c r="E775" s="480"/>
      <c r="F775" s="480"/>
      <c r="G775" s="480"/>
      <c r="H775" s="480"/>
      <c r="I775" s="480"/>
      <c r="J775" s="480"/>
      <c r="K775" s="480"/>
      <c r="L775" s="480"/>
      <c r="M775" s="480"/>
      <c r="N775" s="480"/>
      <c r="O775" s="480"/>
      <c r="P775" s="480"/>
      <c r="Q775" s="480"/>
    </row>
    <row r="776" spans="3:17">
      <c r="C776" s="685"/>
      <c r="D776" s="685"/>
      <c r="E776" s="480"/>
      <c r="F776" s="480"/>
      <c r="G776" s="480"/>
      <c r="H776" s="480"/>
      <c r="I776" s="480"/>
      <c r="J776" s="480"/>
      <c r="K776" s="480"/>
      <c r="L776" s="480"/>
      <c r="M776" s="480"/>
      <c r="N776" s="480"/>
      <c r="O776" s="480"/>
      <c r="P776" s="480"/>
      <c r="Q776" s="480"/>
    </row>
    <row r="777" spans="3:17">
      <c r="C777" s="685"/>
      <c r="D777" s="685"/>
      <c r="E777" s="480"/>
      <c r="F777" s="480"/>
      <c r="G777" s="480"/>
      <c r="H777" s="480"/>
      <c r="I777" s="480"/>
      <c r="J777" s="480"/>
      <c r="K777" s="480"/>
      <c r="L777" s="480"/>
      <c r="M777" s="480"/>
      <c r="N777" s="480"/>
      <c r="O777" s="480"/>
      <c r="P777" s="480"/>
      <c r="Q777" s="480"/>
    </row>
    <row r="778" spans="3:17">
      <c r="C778" s="685"/>
      <c r="D778" s="685"/>
      <c r="E778" s="480"/>
      <c r="F778" s="480"/>
      <c r="G778" s="480"/>
      <c r="H778" s="480"/>
      <c r="I778" s="480"/>
      <c r="J778" s="480"/>
      <c r="K778" s="480"/>
      <c r="L778" s="480"/>
      <c r="M778" s="480"/>
      <c r="N778" s="480"/>
      <c r="O778" s="480"/>
      <c r="P778" s="480"/>
      <c r="Q778" s="480"/>
    </row>
    <row r="779" spans="3:17">
      <c r="C779" s="685"/>
      <c r="D779" s="685"/>
      <c r="E779" s="480"/>
      <c r="F779" s="480"/>
      <c r="G779" s="480"/>
      <c r="H779" s="480"/>
      <c r="I779" s="480"/>
      <c r="J779" s="480"/>
      <c r="K779" s="480"/>
      <c r="L779" s="480"/>
      <c r="M779" s="480"/>
      <c r="N779" s="480"/>
      <c r="O779" s="480"/>
      <c r="P779" s="480"/>
      <c r="Q779" s="480"/>
    </row>
    <row r="780" spans="3:17">
      <c r="C780" s="685"/>
      <c r="D780" s="685"/>
      <c r="E780" s="480"/>
      <c r="F780" s="480"/>
      <c r="G780" s="480"/>
      <c r="H780" s="480"/>
      <c r="I780" s="480"/>
      <c r="J780" s="480"/>
      <c r="K780" s="480"/>
      <c r="L780" s="480"/>
      <c r="M780" s="480"/>
      <c r="N780" s="480"/>
      <c r="O780" s="480"/>
      <c r="P780" s="480"/>
      <c r="Q780" s="480"/>
    </row>
    <row r="781" spans="3:17">
      <c r="C781" s="685"/>
      <c r="D781" s="685"/>
      <c r="E781" s="480"/>
      <c r="F781" s="480"/>
      <c r="G781" s="480"/>
      <c r="H781" s="480"/>
      <c r="I781" s="480"/>
      <c r="J781" s="480"/>
      <c r="K781" s="480"/>
      <c r="L781" s="480"/>
      <c r="M781" s="480"/>
      <c r="N781" s="480"/>
      <c r="O781" s="480"/>
      <c r="P781" s="480"/>
      <c r="Q781" s="480"/>
    </row>
    <row r="782" spans="3:17">
      <c r="C782" s="685"/>
      <c r="D782" s="685"/>
      <c r="E782" s="480"/>
      <c r="F782" s="480"/>
      <c r="G782" s="480"/>
      <c r="H782" s="480"/>
      <c r="I782" s="480"/>
      <c r="J782" s="480"/>
      <c r="K782" s="480"/>
      <c r="L782" s="480"/>
      <c r="M782" s="480"/>
      <c r="N782" s="480"/>
      <c r="O782" s="480"/>
      <c r="P782" s="480"/>
      <c r="Q782" s="480"/>
    </row>
    <row r="783" spans="3:17">
      <c r="C783" s="685"/>
      <c r="D783" s="685"/>
      <c r="E783" s="480"/>
      <c r="F783" s="480"/>
      <c r="G783" s="480"/>
      <c r="H783" s="480"/>
      <c r="I783" s="480"/>
      <c r="J783" s="480"/>
      <c r="K783" s="480"/>
      <c r="L783" s="480"/>
      <c r="M783" s="480"/>
      <c r="N783" s="480"/>
      <c r="O783" s="480"/>
      <c r="P783" s="480"/>
      <c r="Q783" s="480"/>
    </row>
    <row r="784" spans="3:17">
      <c r="C784" s="685"/>
      <c r="D784" s="685"/>
      <c r="E784" s="480"/>
      <c r="F784" s="480"/>
      <c r="G784" s="480"/>
      <c r="H784" s="480"/>
      <c r="I784" s="480"/>
      <c r="J784" s="480"/>
      <c r="K784" s="480"/>
      <c r="L784" s="480"/>
      <c r="M784" s="480"/>
      <c r="N784" s="480"/>
      <c r="O784" s="480"/>
      <c r="P784" s="480"/>
      <c r="Q784" s="480"/>
    </row>
    <row r="785" spans="3:17">
      <c r="C785" s="685"/>
      <c r="D785" s="685"/>
      <c r="E785" s="480"/>
      <c r="F785" s="480"/>
      <c r="G785" s="480"/>
      <c r="H785" s="480"/>
      <c r="I785" s="480"/>
      <c r="J785" s="480"/>
      <c r="K785" s="480"/>
      <c r="L785" s="480"/>
      <c r="M785" s="480"/>
      <c r="N785" s="480"/>
      <c r="O785" s="480"/>
      <c r="P785" s="480"/>
      <c r="Q785" s="480"/>
    </row>
    <row r="786" spans="3:17">
      <c r="C786" s="685"/>
      <c r="D786" s="685"/>
      <c r="E786" s="480"/>
      <c r="F786" s="480"/>
      <c r="G786" s="480"/>
      <c r="H786" s="480"/>
      <c r="I786" s="480"/>
      <c r="J786" s="480"/>
      <c r="K786" s="480"/>
      <c r="L786" s="480"/>
      <c r="M786" s="480"/>
      <c r="N786" s="480"/>
      <c r="O786" s="480"/>
      <c r="P786" s="480"/>
      <c r="Q786" s="480"/>
    </row>
    <row r="787" spans="3:17">
      <c r="C787" s="685"/>
      <c r="D787" s="685"/>
      <c r="E787" s="480"/>
      <c r="F787" s="480"/>
      <c r="G787" s="480"/>
      <c r="H787" s="480"/>
      <c r="I787" s="480"/>
      <c r="J787" s="480"/>
      <c r="K787" s="480"/>
      <c r="L787" s="480"/>
      <c r="M787" s="480"/>
      <c r="N787" s="480"/>
      <c r="O787" s="480"/>
      <c r="P787" s="480"/>
      <c r="Q787" s="480"/>
    </row>
    <row r="788" spans="3:17">
      <c r="C788" s="685"/>
      <c r="D788" s="685"/>
      <c r="E788" s="480"/>
      <c r="F788" s="480"/>
      <c r="G788" s="480"/>
      <c r="H788" s="480"/>
      <c r="I788" s="480"/>
      <c r="J788" s="480"/>
      <c r="K788" s="480"/>
      <c r="L788" s="480"/>
      <c r="M788" s="480"/>
      <c r="N788" s="480"/>
      <c r="O788" s="480"/>
      <c r="P788" s="480"/>
      <c r="Q788" s="480"/>
    </row>
    <row r="789" spans="3:17">
      <c r="C789" s="685"/>
      <c r="D789" s="685"/>
      <c r="E789" s="480"/>
      <c r="F789" s="480"/>
      <c r="G789" s="480"/>
      <c r="H789" s="480"/>
      <c r="I789" s="480"/>
      <c r="J789" s="480"/>
      <c r="K789" s="480"/>
      <c r="L789" s="480"/>
      <c r="M789" s="480"/>
      <c r="N789" s="480"/>
      <c r="O789" s="480"/>
      <c r="P789" s="480"/>
      <c r="Q789" s="480"/>
    </row>
    <row r="790" spans="3:17">
      <c r="C790" s="685"/>
      <c r="D790" s="685"/>
      <c r="E790" s="480"/>
      <c r="F790" s="480"/>
      <c r="G790" s="480"/>
      <c r="H790" s="480"/>
      <c r="I790" s="480"/>
      <c r="J790" s="480"/>
      <c r="K790" s="480"/>
      <c r="L790" s="480"/>
      <c r="M790" s="480"/>
      <c r="N790" s="480"/>
      <c r="O790" s="480"/>
      <c r="P790" s="480"/>
      <c r="Q790" s="480"/>
    </row>
    <row r="791" spans="3:17">
      <c r="C791" s="685"/>
      <c r="D791" s="685"/>
      <c r="E791" s="480"/>
      <c r="F791" s="480"/>
      <c r="G791" s="480"/>
      <c r="H791" s="480"/>
      <c r="I791" s="480"/>
      <c r="J791" s="480"/>
      <c r="K791" s="480"/>
      <c r="L791" s="480"/>
      <c r="M791" s="480"/>
      <c r="N791" s="480"/>
      <c r="O791" s="480"/>
      <c r="P791" s="480"/>
      <c r="Q791" s="480"/>
    </row>
    <row r="792" spans="3:17">
      <c r="C792" s="685"/>
      <c r="D792" s="685"/>
      <c r="E792" s="480"/>
      <c r="F792" s="480"/>
      <c r="G792" s="480"/>
      <c r="H792" s="480"/>
      <c r="I792" s="480"/>
      <c r="J792" s="480"/>
      <c r="K792" s="480"/>
      <c r="L792" s="480"/>
      <c r="M792" s="480"/>
      <c r="N792" s="480"/>
      <c r="O792" s="480"/>
      <c r="P792" s="480"/>
      <c r="Q792" s="480"/>
    </row>
    <row r="793" spans="3:17">
      <c r="C793" s="685"/>
      <c r="D793" s="685"/>
      <c r="E793" s="480"/>
      <c r="F793" s="480"/>
      <c r="G793" s="480"/>
      <c r="H793" s="480"/>
      <c r="I793" s="480"/>
      <c r="J793" s="480"/>
      <c r="K793" s="480"/>
      <c r="L793" s="480"/>
      <c r="M793" s="480"/>
      <c r="N793" s="480"/>
      <c r="O793" s="480"/>
      <c r="P793" s="480"/>
      <c r="Q793" s="480"/>
    </row>
    <row r="794" spans="3:17">
      <c r="C794" s="685"/>
      <c r="D794" s="685"/>
      <c r="E794" s="480"/>
      <c r="F794" s="480"/>
      <c r="G794" s="480"/>
      <c r="H794" s="480"/>
      <c r="I794" s="480"/>
      <c r="J794" s="480"/>
      <c r="K794" s="480"/>
      <c r="L794" s="480"/>
      <c r="M794" s="480"/>
      <c r="N794" s="480"/>
      <c r="O794" s="480"/>
      <c r="P794" s="480"/>
      <c r="Q794" s="480"/>
    </row>
    <row r="795" spans="3:17">
      <c r="C795" s="685"/>
      <c r="D795" s="685"/>
      <c r="E795" s="480"/>
      <c r="F795" s="480"/>
      <c r="G795" s="480"/>
      <c r="H795" s="480"/>
      <c r="I795" s="480"/>
      <c r="J795" s="480"/>
      <c r="K795" s="480"/>
      <c r="L795" s="480"/>
      <c r="M795" s="480"/>
      <c r="N795" s="480"/>
      <c r="O795" s="480"/>
      <c r="P795" s="480"/>
      <c r="Q795" s="480"/>
    </row>
    <row r="796" spans="3:17">
      <c r="C796" s="685"/>
      <c r="D796" s="685"/>
      <c r="E796" s="480"/>
      <c r="F796" s="480"/>
      <c r="G796" s="480"/>
      <c r="H796" s="480"/>
      <c r="I796" s="480"/>
      <c r="J796" s="480"/>
      <c r="K796" s="480"/>
      <c r="L796" s="480"/>
      <c r="M796" s="480"/>
      <c r="N796" s="480"/>
      <c r="O796" s="480"/>
      <c r="P796" s="480"/>
      <c r="Q796" s="480"/>
    </row>
    <row r="797" spans="3:17">
      <c r="C797" s="685"/>
      <c r="D797" s="685"/>
      <c r="E797" s="480"/>
      <c r="F797" s="480"/>
      <c r="G797" s="480"/>
      <c r="H797" s="480"/>
      <c r="I797" s="480"/>
      <c r="J797" s="480"/>
      <c r="K797" s="480"/>
      <c r="L797" s="480"/>
      <c r="M797" s="480"/>
      <c r="N797" s="480"/>
      <c r="O797" s="480"/>
      <c r="P797" s="480"/>
      <c r="Q797" s="480"/>
    </row>
    <row r="798" spans="3:17">
      <c r="C798" s="685"/>
      <c r="D798" s="685"/>
      <c r="E798" s="480"/>
      <c r="F798" s="480"/>
      <c r="G798" s="480"/>
      <c r="H798" s="480"/>
      <c r="I798" s="480"/>
      <c r="J798" s="480"/>
      <c r="K798" s="480"/>
      <c r="L798" s="480"/>
      <c r="M798" s="480"/>
      <c r="N798" s="480"/>
      <c r="O798" s="480"/>
      <c r="P798" s="480"/>
      <c r="Q798" s="480"/>
    </row>
    <row r="799" spans="3:17">
      <c r="C799" s="685"/>
      <c r="D799" s="685"/>
      <c r="E799" s="480"/>
      <c r="F799" s="480"/>
      <c r="G799" s="480"/>
      <c r="H799" s="480"/>
      <c r="I799" s="480"/>
      <c r="J799" s="480"/>
      <c r="K799" s="480"/>
      <c r="L799" s="480"/>
      <c r="M799" s="480"/>
      <c r="N799" s="480"/>
      <c r="O799" s="480"/>
      <c r="P799" s="480"/>
      <c r="Q799" s="480"/>
    </row>
    <row r="800" spans="3:17">
      <c r="C800" s="685"/>
      <c r="D800" s="685"/>
      <c r="E800" s="480"/>
      <c r="F800" s="480"/>
      <c r="G800" s="480"/>
      <c r="H800" s="480"/>
      <c r="I800" s="480"/>
      <c r="J800" s="480"/>
      <c r="K800" s="480"/>
      <c r="L800" s="480"/>
      <c r="M800" s="480"/>
      <c r="N800" s="480"/>
      <c r="O800" s="480"/>
      <c r="P800" s="480"/>
      <c r="Q800" s="480"/>
    </row>
    <row r="801" spans="3:17">
      <c r="C801" s="685"/>
      <c r="D801" s="685"/>
      <c r="E801" s="480"/>
      <c r="F801" s="480"/>
      <c r="G801" s="480"/>
      <c r="H801" s="480"/>
      <c r="I801" s="480"/>
      <c r="J801" s="480"/>
      <c r="K801" s="480"/>
      <c r="L801" s="480"/>
      <c r="M801" s="480"/>
      <c r="N801" s="480"/>
      <c r="O801" s="480"/>
      <c r="P801" s="480"/>
      <c r="Q801" s="480"/>
    </row>
    <row r="802" spans="3:17">
      <c r="C802" s="685"/>
      <c r="D802" s="685"/>
      <c r="E802" s="480"/>
      <c r="F802" s="480"/>
      <c r="G802" s="480"/>
      <c r="H802" s="480"/>
      <c r="I802" s="480"/>
      <c r="J802" s="480"/>
      <c r="K802" s="480"/>
      <c r="L802" s="480"/>
      <c r="M802" s="480"/>
      <c r="N802" s="480"/>
      <c r="O802" s="480"/>
      <c r="P802" s="480"/>
      <c r="Q802" s="480"/>
    </row>
    <row r="803" spans="3:17">
      <c r="C803" s="685"/>
      <c r="D803" s="685"/>
      <c r="E803" s="480"/>
      <c r="F803" s="480"/>
      <c r="G803" s="480"/>
      <c r="H803" s="480"/>
      <c r="I803" s="480"/>
      <c r="J803" s="480"/>
      <c r="K803" s="480"/>
      <c r="L803" s="480"/>
      <c r="M803" s="480"/>
      <c r="N803" s="480"/>
      <c r="O803" s="480"/>
      <c r="P803" s="480"/>
      <c r="Q803" s="480"/>
    </row>
    <row r="804" spans="3:17">
      <c r="C804" s="685"/>
      <c r="D804" s="685"/>
      <c r="E804" s="480"/>
      <c r="F804" s="480"/>
      <c r="G804" s="480"/>
      <c r="H804" s="480"/>
      <c r="I804" s="480"/>
      <c r="J804" s="480"/>
      <c r="K804" s="480"/>
      <c r="L804" s="480"/>
      <c r="M804" s="480"/>
      <c r="N804" s="480"/>
      <c r="O804" s="480"/>
      <c r="P804" s="480"/>
      <c r="Q804" s="480"/>
    </row>
    <row r="805" spans="3:17">
      <c r="C805" s="685"/>
      <c r="D805" s="685"/>
      <c r="E805" s="480"/>
      <c r="F805" s="480"/>
      <c r="G805" s="480"/>
      <c r="H805" s="480"/>
      <c r="I805" s="480"/>
      <c r="J805" s="480"/>
      <c r="K805" s="480"/>
      <c r="L805" s="480"/>
      <c r="M805" s="480"/>
      <c r="N805" s="480"/>
      <c r="O805" s="480"/>
      <c r="P805" s="480"/>
      <c r="Q805" s="480"/>
    </row>
    <row r="806" spans="3:17">
      <c r="C806" s="685"/>
      <c r="D806" s="685"/>
      <c r="E806" s="480"/>
      <c r="F806" s="480"/>
      <c r="G806" s="480"/>
      <c r="H806" s="480"/>
      <c r="I806" s="480"/>
      <c r="J806" s="480"/>
      <c r="K806" s="480"/>
      <c r="L806" s="480"/>
      <c r="M806" s="480"/>
      <c r="N806" s="480"/>
      <c r="O806" s="480"/>
      <c r="P806" s="480"/>
      <c r="Q806" s="480"/>
    </row>
    <row r="807" spans="3:17">
      <c r="C807" s="685"/>
      <c r="D807" s="685"/>
      <c r="E807" s="480"/>
      <c r="F807" s="480"/>
      <c r="G807" s="480"/>
      <c r="H807" s="480"/>
      <c r="I807" s="480"/>
      <c r="J807" s="480"/>
      <c r="K807" s="480"/>
      <c r="L807" s="480"/>
      <c r="M807" s="480"/>
      <c r="N807" s="480"/>
      <c r="O807" s="480"/>
      <c r="P807" s="480"/>
      <c r="Q807" s="480"/>
    </row>
    <row r="808" spans="3:17">
      <c r="C808" s="685"/>
      <c r="D808" s="685"/>
      <c r="E808" s="480"/>
      <c r="F808" s="480"/>
      <c r="G808" s="480"/>
      <c r="H808" s="480"/>
      <c r="I808" s="480"/>
      <c r="J808" s="480"/>
      <c r="K808" s="480"/>
      <c r="L808" s="480"/>
      <c r="M808" s="480"/>
      <c r="N808" s="480"/>
      <c r="O808" s="480"/>
      <c r="P808" s="480"/>
      <c r="Q808" s="480"/>
    </row>
    <row r="809" spans="3:17">
      <c r="C809" s="685"/>
      <c r="D809" s="685"/>
      <c r="E809" s="480"/>
      <c r="F809" s="480"/>
      <c r="G809" s="480"/>
      <c r="H809" s="480"/>
      <c r="I809" s="480"/>
      <c r="J809" s="480"/>
      <c r="K809" s="480"/>
      <c r="L809" s="480"/>
      <c r="M809" s="480"/>
      <c r="N809" s="480"/>
      <c r="O809" s="480"/>
      <c r="P809" s="480"/>
      <c r="Q809" s="480"/>
    </row>
    <row r="810" spans="3:17">
      <c r="C810" s="685"/>
      <c r="D810" s="685"/>
      <c r="E810" s="480"/>
      <c r="F810" s="480"/>
      <c r="G810" s="480"/>
      <c r="H810" s="480"/>
      <c r="I810" s="480"/>
      <c r="J810" s="480"/>
      <c r="K810" s="480"/>
      <c r="L810" s="480"/>
      <c r="M810" s="480"/>
      <c r="N810" s="480"/>
      <c r="O810" s="480"/>
      <c r="P810" s="480"/>
      <c r="Q810" s="480"/>
    </row>
    <row r="811" spans="3:17">
      <c r="C811" s="685"/>
      <c r="D811" s="685"/>
      <c r="E811" s="480"/>
      <c r="F811" s="480"/>
      <c r="G811" s="480"/>
      <c r="H811" s="480"/>
      <c r="I811" s="480"/>
      <c r="J811" s="480"/>
      <c r="K811" s="480"/>
      <c r="L811" s="480"/>
      <c r="M811" s="480"/>
      <c r="N811" s="480"/>
      <c r="O811" s="480"/>
      <c r="P811" s="480"/>
      <c r="Q811" s="480"/>
    </row>
    <row r="812" spans="3:17">
      <c r="C812" s="685"/>
      <c r="D812" s="685"/>
      <c r="E812" s="480"/>
      <c r="F812" s="480"/>
      <c r="G812" s="480"/>
      <c r="H812" s="480"/>
      <c r="I812" s="480"/>
      <c r="J812" s="480"/>
      <c r="K812" s="480"/>
      <c r="L812" s="480"/>
      <c r="M812" s="480"/>
      <c r="N812" s="480"/>
      <c r="O812" s="480"/>
      <c r="P812" s="480"/>
      <c r="Q812" s="480"/>
    </row>
    <row r="813" spans="3:17">
      <c r="C813" s="685"/>
      <c r="D813" s="685"/>
      <c r="E813" s="480"/>
      <c r="F813" s="480"/>
      <c r="G813" s="480"/>
      <c r="H813" s="480"/>
      <c r="I813" s="480"/>
      <c r="J813" s="480"/>
      <c r="K813" s="480"/>
      <c r="L813" s="480"/>
      <c r="M813" s="480"/>
      <c r="N813" s="480"/>
      <c r="O813" s="480"/>
      <c r="P813" s="480"/>
      <c r="Q813" s="480"/>
    </row>
    <row r="814" spans="3:17">
      <c r="C814" s="685"/>
      <c r="D814" s="685"/>
      <c r="E814" s="480"/>
      <c r="F814" s="480"/>
      <c r="G814" s="480"/>
      <c r="H814" s="480"/>
      <c r="I814" s="480"/>
      <c r="J814" s="480"/>
      <c r="K814" s="480"/>
      <c r="L814" s="480"/>
      <c r="M814" s="480"/>
      <c r="N814" s="480"/>
      <c r="O814" s="480"/>
      <c r="P814" s="480"/>
      <c r="Q814" s="480"/>
    </row>
    <row r="815" spans="3:17">
      <c r="C815" s="685"/>
      <c r="D815" s="685"/>
      <c r="E815" s="480"/>
      <c r="F815" s="480"/>
      <c r="G815" s="480"/>
      <c r="H815" s="480"/>
      <c r="I815" s="480"/>
      <c r="J815" s="480"/>
      <c r="K815" s="480"/>
      <c r="L815" s="480"/>
      <c r="M815" s="480"/>
      <c r="N815" s="480"/>
      <c r="O815" s="480"/>
      <c r="P815" s="480"/>
      <c r="Q815" s="480"/>
    </row>
    <row r="816" spans="3:17">
      <c r="C816" s="685"/>
      <c r="D816" s="685"/>
      <c r="E816" s="480"/>
      <c r="F816" s="480"/>
      <c r="G816" s="480"/>
      <c r="H816" s="480"/>
      <c r="I816" s="480"/>
      <c r="J816" s="480"/>
      <c r="K816" s="480"/>
      <c r="L816" s="480"/>
      <c r="M816" s="480"/>
      <c r="N816" s="480"/>
      <c r="O816" s="480"/>
      <c r="P816" s="480"/>
      <c r="Q816" s="480"/>
    </row>
    <row r="817" spans="3:17">
      <c r="C817" s="685"/>
      <c r="D817" s="685"/>
      <c r="E817" s="480"/>
      <c r="F817" s="480"/>
      <c r="G817" s="480"/>
      <c r="H817" s="480"/>
      <c r="I817" s="480"/>
      <c r="J817" s="480"/>
      <c r="K817" s="480"/>
      <c r="L817" s="480"/>
      <c r="M817" s="480"/>
      <c r="N817" s="480"/>
      <c r="O817" s="480"/>
      <c r="P817" s="480"/>
      <c r="Q817" s="480"/>
    </row>
    <row r="818" spans="3:17">
      <c r="C818" s="685"/>
      <c r="D818" s="685"/>
      <c r="E818" s="480"/>
      <c r="F818" s="480"/>
      <c r="G818" s="480"/>
      <c r="H818" s="480"/>
      <c r="I818" s="480"/>
      <c r="J818" s="480"/>
      <c r="K818" s="480"/>
      <c r="L818" s="480"/>
      <c r="M818" s="480"/>
      <c r="N818" s="480"/>
      <c r="O818" s="480"/>
      <c r="P818" s="480"/>
      <c r="Q818" s="480"/>
    </row>
    <row r="819" spans="3:17">
      <c r="C819" s="685"/>
      <c r="D819" s="685"/>
      <c r="E819" s="480"/>
      <c r="F819" s="480"/>
      <c r="G819" s="480"/>
      <c r="H819" s="480"/>
      <c r="I819" s="480"/>
      <c r="J819" s="480"/>
      <c r="K819" s="480"/>
      <c r="L819" s="480"/>
      <c r="M819" s="480"/>
      <c r="N819" s="480"/>
      <c r="O819" s="480"/>
      <c r="P819" s="480"/>
      <c r="Q819" s="480"/>
    </row>
    <row r="820" spans="3:17">
      <c r="C820" s="685"/>
      <c r="D820" s="685"/>
      <c r="E820" s="480"/>
      <c r="F820" s="480"/>
      <c r="G820" s="480"/>
      <c r="H820" s="480"/>
      <c r="I820" s="480"/>
      <c r="J820" s="480"/>
      <c r="K820" s="480"/>
      <c r="L820" s="480"/>
      <c r="M820" s="480"/>
      <c r="N820" s="480"/>
      <c r="O820" s="480"/>
      <c r="P820" s="480"/>
      <c r="Q820" s="480"/>
    </row>
    <row r="821" spans="3:17">
      <c r="C821" s="685"/>
      <c r="D821" s="685"/>
      <c r="E821" s="480"/>
      <c r="F821" s="480"/>
      <c r="G821" s="480"/>
      <c r="H821" s="480"/>
      <c r="I821" s="480"/>
      <c r="J821" s="480"/>
      <c r="K821" s="480"/>
      <c r="L821" s="480"/>
      <c r="M821" s="480"/>
      <c r="N821" s="480"/>
      <c r="O821" s="480"/>
      <c r="P821" s="480"/>
      <c r="Q821" s="480"/>
    </row>
    <row r="822" spans="3:17">
      <c r="C822" s="685"/>
      <c r="D822" s="685"/>
      <c r="E822" s="480"/>
      <c r="F822" s="480"/>
      <c r="G822" s="480"/>
      <c r="H822" s="480"/>
      <c r="I822" s="480"/>
      <c r="J822" s="480"/>
      <c r="K822" s="480"/>
      <c r="L822" s="480"/>
      <c r="M822" s="480"/>
      <c r="N822" s="480"/>
      <c r="O822" s="480"/>
      <c r="P822" s="480"/>
      <c r="Q822" s="480"/>
    </row>
    <row r="823" spans="3:17">
      <c r="C823" s="685"/>
      <c r="D823" s="685"/>
      <c r="E823" s="480"/>
      <c r="F823" s="480"/>
      <c r="G823" s="480"/>
      <c r="H823" s="480"/>
      <c r="I823" s="480"/>
      <c r="J823" s="480"/>
      <c r="K823" s="480"/>
      <c r="L823" s="480"/>
      <c r="M823" s="480"/>
      <c r="N823" s="480"/>
      <c r="O823" s="480"/>
      <c r="P823" s="480"/>
      <c r="Q823" s="480"/>
    </row>
    <row r="824" spans="3:17">
      <c r="C824" s="685"/>
      <c r="D824" s="685"/>
      <c r="E824" s="480"/>
      <c r="F824" s="480"/>
      <c r="G824" s="480"/>
      <c r="H824" s="480"/>
      <c r="I824" s="480"/>
      <c r="J824" s="480"/>
      <c r="K824" s="480"/>
      <c r="L824" s="480"/>
      <c r="M824" s="480"/>
      <c r="N824" s="480"/>
      <c r="O824" s="480"/>
      <c r="P824" s="480"/>
      <c r="Q824" s="480"/>
    </row>
    <row r="825" spans="3:17">
      <c r="C825" s="685"/>
      <c r="D825" s="685"/>
      <c r="E825" s="480"/>
      <c r="F825" s="480"/>
      <c r="G825" s="480"/>
      <c r="H825" s="480"/>
      <c r="I825" s="480"/>
      <c r="J825" s="480"/>
      <c r="K825" s="480"/>
      <c r="L825" s="480"/>
      <c r="M825" s="480"/>
      <c r="N825" s="480"/>
      <c r="O825" s="480"/>
      <c r="P825" s="480"/>
      <c r="Q825" s="480"/>
    </row>
    <row r="826" spans="3:17">
      <c r="C826" s="685"/>
      <c r="D826" s="685"/>
      <c r="E826" s="480"/>
      <c r="F826" s="480"/>
      <c r="G826" s="480"/>
      <c r="H826" s="480"/>
      <c r="I826" s="480"/>
      <c r="J826" s="480"/>
      <c r="K826" s="480"/>
      <c r="L826" s="480"/>
      <c r="M826" s="480"/>
      <c r="N826" s="480"/>
      <c r="O826" s="480"/>
      <c r="P826" s="480"/>
      <c r="Q826" s="480"/>
    </row>
    <row r="827" spans="3:17">
      <c r="C827" s="685"/>
      <c r="D827" s="685"/>
      <c r="E827" s="480"/>
      <c r="F827" s="480"/>
      <c r="G827" s="480"/>
      <c r="H827" s="480"/>
      <c r="I827" s="480"/>
      <c r="J827" s="480"/>
      <c r="K827" s="480"/>
      <c r="L827" s="480"/>
      <c r="M827" s="480"/>
      <c r="N827" s="480"/>
      <c r="O827" s="480"/>
      <c r="P827" s="480"/>
      <c r="Q827" s="480"/>
    </row>
    <row r="828" spans="3:17">
      <c r="C828" s="685"/>
      <c r="D828" s="685"/>
      <c r="E828" s="480"/>
      <c r="F828" s="480"/>
      <c r="G828" s="480"/>
      <c r="H828" s="480"/>
      <c r="I828" s="480"/>
      <c r="J828" s="480"/>
      <c r="K828" s="480"/>
      <c r="L828" s="480"/>
      <c r="M828" s="480"/>
      <c r="N828" s="480"/>
      <c r="O828" s="480"/>
      <c r="P828" s="480"/>
      <c r="Q828" s="480"/>
    </row>
    <row r="829" spans="3:17">
      <c r="C829" s="685"/>
      <c r="D829" s="685"/>
      <c r="E829" s="480"/>
      <c r="F829" s="480"/>
      <c r="G829" s="480"/>
      <c r="H829" s="480"/>
      <c r="I829" s="480"/>
      <c r="J829" s="480"/>
      <c r="K829" s="480"/>
      <c r="L829" s="480"/>
      <c r="M829" s="480"/>
      <c r="N829" s="480"/>
      <c r="O829" s="480"/>
      <c r="P829" s="480"/>
      <c r="Q829" s="480"/>
    </row>
    <row r="830" spans="3:17">
      <c r="C830" s="685"/>
      <c r="D830" s="685"/>
      <c r="E830" s="480"/>
      <c r="F830" s="480"/>
      <c r="G830" s="480"/>
      <c r="H830" s="480"/>
      <c r="I830" s="480"/>
      <c r="J830" s="480"/>
      <c r="K830" s="480"/>
      <c r="L830" s="480"/>
      <c r="M830" s="480"/>
      <c r="N830" s="480"/>
      <c r="O830" s="480"/>
      <c r="P830" s="480"/>
      <c r="Q830" s="480"/>
    </row>
    <row r="831" spans="3:17">
      <c r="C831" s="685"/>
      <c r="D831" s="685"/>
      <c r="E831" s="480"/>
      <c r="F831" s="480"/>
      <c r="G831" s="480"/>
      <c r="H831" s="480"/>
      <c r="I831" s="480"/>
      <c r="J831" s="480"/>
      <c r="K831" s="480"/>
      <c r="L831" s="480"/>
      <c r="M831" s="480"/>
      <c r="N831" s="480"/>
      <c r="O831" s="480"/>
      <c r="P831" s="480"/>
      <c r="Q831" s="480"/>
    </row>
    <row r="832" spans="3:17">
      <c r="C832" s="685"/>
      <c r="D832" s="685"/>
      <c r="E832" s="480"/>
      <c r="F832" s="480"/>
      <c r="G832" s="480"/>
      <c r="H832" s="480"/>
      <c r="I832" s="480"/>
      <c r="J832" s="480"/>
      <c r="K832" s="480"/>
      <c r="L832" s="480"/>
      <c r="M832" s="480"/>
      <c r="N832" s="480"/>
      <c r="O832" s="480"/>
      <c r="P832" s="480"/>
      <c r="Q832" s="480"/>
    </row>
    <row r="833" spans="3:17">
      <c r="C833" s="685"/>
      <c r="D833" s="685"/>
      <c r="E833" s="480"/>
      <c r="F833" s="480"/>
      <c r="G833" s="480"/>
      <c r="H833" s="480"/>
      <c r="I833" s="480"/>
      <c r="J833" s="480"/>
      <c r="K833" s="480"/>
      <c r="L833" s="480"/>
      <c r="M833" s="480"/>
      <c r="N833" s="480"/>
      <c r="O833" s="480"/>
      <c r="P833" s="480"/>
      <c r="Q833" s="480"/>
    </row>
    <row r="834" spans="3:17">
      <c r="C834" s="685"/>
      <c r="D834" s="685"/>
      <c r="E834" s="480"/>
      <c r="F834" s="480"/>
      <c r="G834" s="480"/>
      <c r="H834" s="480"/>
      <c r="I834" s="480"/>
      <c r="J834" s="480"/>
      <c r="K834" s="480"/>
      <c r="L834" s="480"/>
      <c r="M834" s="480"/>
      <c r="N834" s="480"/>
      <c r="O834" s="480"/>
      <c r="P834" s="480"/>
      <c r="Q834" s="480"/>
    </row>
    <row r="835" spans="3:17">
      <c r="C835" s="685"/>
      <c r="D835" s="685"/>
      <c r="E835" s="480"/>
      <c r="F835" s="480"/>
      <c r="G835" s="480"/>
      <c r="H835" s="480"/>
      <c r="I835" s="480"/>
      <c r="J835" s="480"/>
      <c r="K835" s="480"/>
      <c r="L835" s="480"/>
      <c r="M835" s="480"/>
      <c r="N835" s="480"/>
      <c r="O835" s="480"/>
      <c r="P835" s="480"/>
      <c r="Q835" s="480"/>
    </row>
    <row r="836" spans="3:17">
      <c r="C836" s="685"/>
      <c r="D836" s="685"/>
      <c r="E836" s="480"/>
      <c r="F836" s="480"/>
      <c r="G836" s="480"/>
      <c r="H836" s="480"/>
      <c r="I836" s="480"/>
      <c r="J836" s="480"/>
      <c r="K836" s="480"/>
      <c r="L836" s="480"/>
      <c r="M836" s="480"/>
      <c r="N836" s="480"/>
      <c r="O836" s="480"/>
      <c r="P836" s="480"/>
      <c r="Q836" s="480"/>
    </row>
    <row r="837" spans="3:17">
      <c r="C837" s="685"/>
      <c r="D837" s="685"/>
      <c r="E837" s="480"/>
      <c r="F837" s="480"/>
      <c r="G837" s="480"/>
      <c r="H837" s="480"/>
      <c r="I837" s="480"/>
      <c r="J837" s="480"/>
      <c r="K837" s="480"/>
      <c r="L837" s="480"/>
      <c r="M837" s="480"/>
      <c r="N837" s="480"/>
      <c r="O837" s="480"/>
      <c r="P837" s="480"/>
      <c r="Q837" s="480"/>
    </row>
    <row r="838" spans="3:17">
      <c r="C838" s="685"/>
      <c r="D838" s="685"/>
      <c r="E838" s="480"/>
      <c r="F838" s="480"/>
      <c r="G838" s="480"/>
      <c r="H838" s="480"/>
      <c r="I838" s="480"/>
      <c r="J838" s="480"/>
      <c r="K838" s="480"/>
      <c r="L838" s="480"/>
      <c r="M838" s="480"/>
      <c r="N838" s="480"/>
      <c r="O838" s="480"/>
      <c r="P838" s="480"/>
      <c r="Q838" s="480"/>
    </row>
    <row r="839" spans="3:17">
      <c r="C839" s="685"/>
      <c r="D839" s="685"/>
      <c r="E839" s="480"/>
      <c r="F839" s="480"/>
      <c r="G839" s="480"/>
      <c r="H839" s="480"/>
      <c r="I839" s="480"/>
      <c r="J839" s="480"/>
      <c r="K839" s="480"/>
      <c r="L839" s="480"/>
      <c r="M839" s="480"/>
      <c r="N839" s="480"/>
      <c r="O839" s="480"/>
      <c r="P839" s="480"/>
      <c r="Q839" s="480"/>
    </row>
    <row r="840" spans="3:17">
      <c r="C840" s="685"/>
      <c r="D840" s="685"/>
      <c r="E840" s="480"/>
      <c r="F840" s="480"/>
      <c r="G840" s="480"/>
      <c r="H840" s="480"/>
      <c r="I840" s="480"/>
      <c r="J840" s="480"/>
      <c r="K840" s="480"/>
      <c r="L840" s="480"/>
      <c r="M840" s="480"/>
      <c r="N840" s="480"/>
      <c r="O840" s="480"/>
      <c r="P840" s="480"/>
      <c r="Q840" s="480"/>
    </row>
    <row r="841" spans="3:17">
      <c r="C841" s="685"/>
      <c r="D841" s="685"/>
      <c r="E841" s="480"/>
      <c r="F841" s="480"/>
      <c r="G841" s="480"/>
      <c r="H841" s="480"/>
      <c r="I841" s="480"/>
      <c r="J841" s="480"/>
      <c r="K841" s="480"/>
      <c r="L841" s="480"/>
      <c r="M841" s="480"/>
      <c r="N841" s="480"/>
      <c r="O841" s="480"/>
      <c r="P841" s="480"/>
      <c r="Q841" s="480"/>
    </row>
    <row r="842" spans="3:17">
      <c r="C842" s="685"/>
      <c r="D842" s="685"/>
      <c r="E842" s="480"/>
      <c r="F842" s="480"/>
      <c r="G842" s="480"/>
      <c r="H842" s="480"/>
      <c r="I842" s="480"/>
      <c r="J842" s="480"/>
      <c r="K842" s="480"/>
      <c r="L842" s="480"/>
      <c r="M842" s="480"/>
      <c r="N842" s="480"/>
      <c r="O842" s="480"/>
      <c r="P842" s="480"/>
      <c r="Q842" s="480"/>
    </row>
    <row r="843" spans="3:17">
      <c r="C843" s="685"/>
      <c r="D843" s="685"/>
      <c r="E843" s="480"/>
      <c r="F843" s="480"/>
      <c r="G843" s="480"/>
      <c r="H843" s="480"/>
      <c r="I843" s="480"/>
      <c r="J843" s="480"/>
      <c r="K843" s="480"/>
      <c r="L843" s="480"/>
      <c r="M843" s="480"/>
      <c r="N843" s="480"/>
      <c r="O843" s="480"/>
      <c r="P843" s="480"/>
      <c r="Q843" s="480"/>
    </row>
    <row r="844" spans="3:17">
      <c r="C844" s="685"/>
      <c r="D844" s="685"/>
      <c r="E844" s="480"/>
      <c r="F844" s="480"/>
      <c r="G844" s="480"/>
      <c r="H844" s="480"/>
      <c r="I844" s="480"/>
      <c r="J844" s="480"/>
      <c r="K844" s="480"/>
      <c r="L844" s="480"/>
      <c r="M844" s="480"/>
      <c r="N844" s="480"/>
      <c r="O844" s="480"/>
      <c r="P844" s="480"/>
      <c r="Q844" s="480"/>
    </row>
    <row r="845" spans="3:17">
      <c r="C845" s="685"/>
      <c r="D845" s="685"/>
      <c r="E845" s="480"/>
      <c r="F845" s="480"/>
      <c r="G845" s="480"/>
      <c r="H845" s="480"/>
      <c r="I845" s="480"/>
      <c r="J845" s="480"/>
      <c r="K845" s="480"/>
      <c r="L845" s="480"/>
      <c r="M845" s="480"/>
      <c r="N845" s="480"/>
      <c r="O845" s="480"/>
      <c r="P845" s="480"/>
      <c r="Q845" s="480"/>
    </row>
    <row r="846" spans="3:17">
      <c r="C846" s="685"/>
      <c r="D846" s="685"/>
      <c r="E846" s="480"/>
      <c r="F846" s="480"/>
      <c r="G846" s="480"/>
      <c r="H846" s="480"/>
      <c r="I846" s="480"/>
      <c r="J846" s="480"/>
      <c r="K846" s="480"/>
      <c r="L846" s="480"/>
      <c r="M846" s="480"/>
      <c r="N846" s="480"/>
      <c r="O846" s="480"/>
      <c r="P846" s="480"/>
      <c r="Q846" s="480"/>
    </row>
    <row r="847" spans="3:17">
      <c r="C847" s="685"/>
      <c r="D847" s="685"/>
      <c r="E847" s="480"/>
      <c r="F847" s="480"/>
      <c r="G847" s="480"/>
      <c r="H847" s="480"/>
      <c r="I847" s="480"/>
      <c r="J847" s="480"/>
      <c r="K847" s="480"/>
      <c r="L847" s="480"/>
      <c r="M847" s="480"/>
      <c r="N847" s="480"/>
      <c r="O847" s="480"/>
      <c r="P847" s="480"/>
      <c r="Q847" s="480"/>
    </row>
    <row r="848" spans="3:17">
      <c r="C848" s="685"/>
      <c r="D848" s="685"/>
      <c r="E848" s="480"/>
      <c r="F848" s="480"/>
      <c r="G848" s="480"/>
      <c r="H848" s="480"/>
      <c r="I848" s="480"/>
      <c r="J848" s="480"/>
      <c r="K848" s="480"/>
      <c r="L848" s="480"/>
      <c r="M848" s="480"/>
      <c r="N848" s="480"/>
      <c r="O848" s="480"/>
      <c r="P848" s="480"/>
      <c r="Q848" s="480"/>
    </row>
    <row r="849" spans="3:17">
      <c r="C849" s="685"/>
      <c r="D849" s="685"/>
      <c r="E849" s="480"/>
      <c r="F849" s="480"/>
      <c r="G849" s="480"/>
      <c r="H849" s="480"/>
      <c r="I849" s="480"/>
      <c r="J849" s="480"/>
      <c r="K849" s="480"/>
      <c r="L849" s="480"/>
      <c r="M849" s="480"/>
      <c r="N849" s="480"/>
      <c r="O849" s="480"/>
      <c r="P849" s="480"/>
      <c r="Q849" s="480"/>
    </row>
    <row r="850" spans="3:17">
      <c r="C850" s="685"/>
      <c r="D850" s="685"/>
      <c r="E850" s="480"/>
      <c r="F850" s="480"/>
      <c r="G850" s="480"/>
      <c r="H850" s="480"/>
      <c r="I850" s="480"/>
      <c r="J850" s="480"/>
      <c r="K850" s="480"/>
      <c r="L850" s="480"/>
      <c r="M850" s="480"/>
      <c r="N850" s="480"/>
      <c r="O850" s="480"/>
      <c r="P850" s="480"/>
      <c r="Q850" s="480"/>
    </row>
    <row r="851" spans="3:17">
      <c r="C851" s="685"/>
      <c r="D851" s="685"/>
      <c r="E851" s="480"/>
      <c r="F851" s="480"/>
      <c r="G851" s="480"/>
      <c r="H851" s="480"/>
      <c r="I851" s="480"/>
      <c r="J851" s="480"/>
      <c r="K851" s="480"/>
      <c r="L851" s="480"/>
      <c r="M851" s="480"/>
      <c r="N851" s="480"/>
      <c r="O851" s="480"/>
      <c r="P851" s="480"/>
      <c r="Q851" s="480"/>
    </row>
    <row r="852" spans="3:17">
      <c r="C852" s="685"/>
      <c r="D852" s="685"/>
      <c r="E852" s="480"/>
      <c r="F852" s="480"/>
      <c r="G852" s="480"/>
      <c r="H852" s="480"/>
      <c r="I852" s="480"/>
      <c r="J852" s="480"/>
      <c r="K852" s="480"/>
      <c r="L852" s="480"/>
      <c r="M852" s="480"/>
      <c r="N852" s="480"/>
      <c r="O852" s="480"/>
      <c r="P852" s="480"/>
      <c r="Q852" s="480"/>
    </row>
    <row r="853" spans="3:17">
      <c r="C853" s="685"/>
      <c r="D853" s="685"/>
      <c r="E853" s="480"/>
      <c r="F853" s="480"/>
      <c r="G853" s="480"/>
      <c r="H853" s="480"/>
      <c r="I853" s="480"/>
      <c r="J853" s="480"/>
      <c r="K853" s="480"/>
      <c r="L853" s="480"/>
      <c r="M853" s="480"/>
      <c r="N853" s="480"/>
      <c r="O853" s="480"/>
      <c r="P853" s="480"/>
      <c r="Q853" s="480"/>
    </row>
    <row r="854" spans="3:17">
      <c r="C854" s="685"/>
      <c r="D854" s="685"/>
      <c r="E854" s="480"/>
      <c r="F854" s="480"/>
      <c r="G854" s="480"/>
      <c r="H854" s="480"/>
      <c r="I854" s="480"/>
      <c r="J854" s="480"/>
      <c r="K854" s="480"/>
      <c r="L854" s="480"/>
      <c r="M854" s="480"/>
      <c r="N854" s="480"/>
      <c r="O854" s="480"/>
      <c r="P854" s="480"/>
      <c r="Q854" s="480"/>
    </row>
    <row r="855" spans="3:17">
      <c r="C855" s="685"/>
      <c r="D855" s="685"/>
      <c r="E855" s="480"/>
      <c r="F855" s="480"/>
      <c r="G855" s="480"/>
      <c r="H855" s="480"/>
      <c r="I855" s="480"/>
      <c r="J855" s="480"/>
      <c r="K855" s="480"/>
      <c r="L855" s="480"/>
      <c r="M855" s="480"/>
      <c r="N855" s="480"/>
      <c r="O855" s="480"/>
      <c r="P855" s="480"/>
      <c r="Q855" s="480"/>
    </row>
    <row r="856" spans="3:17">
      <c r="C856" s="685"/>
      <c r="D856" s="685"/>
      <c r="E856" s="480"/>
      <c r="F856" s="480"/>
      <c r="G856" s="480"/>
      <c r="H856" s="480"/>
      <c r="I856" s="480"/>
      <c r="J856" s="480"/>
      <c r="K856" s="480"/>
      <c r="L856" s="480"/>
      <c r="M856" s="480"/>
      <c r="N856" s="480"/>
      <c r="O856" s="480"/>
      <c r="P856" s="480"/>
      <c r="Q856" s="480"/>
    </row>
    <row r="857" spans="3:17">
      <c r="C857" s="685"/>
      <c r="D857" s="685"/>
      <c r="E857" s="480"/>
      <c r="F857" s="480"/>
      <c r="G857" s="480"/>
      <c r="H857" s="480"/>
      <c r="I857" s="480"/>
      <c r="J857" s="480"/>
      <c r="K857" s="480"/>
      <c r="L857" s="480"/>
      <c r="M857" s="480"/>
      <c r="N857" s="480"/>
      <c r="O857" s="480"/>
      <c r="P857" s="480"/>
      <c r="Q857" s="480"/>
    </row>
    <row r="858" spans="3:17">
      <c r="C858" s="685"/>
      <c r="D858" s="685"/>
      <c r="E858" s="480"/>
      <c r="F858" s="480"/>
      <c r="G858" s="480"/>
      <c r="H858" s="480"/>
      <c r="I858" s="480"/>
      <c r="J858" s="480"/>
      <c r="K858" s="480"/>
      <c r="L858" s="480"/>
      <c r="M858" s="480"/>
      <c r="N858" s="480"/>
      <c r="O858" s="480"/>
      <c r="P858" s="480"/>
      <c r="Q858" s="480"/>
    </row>
    <row r="859" spans="3:17">
      <c r="C859" s="685"/>
      <c r="D859" s="685"/>
      <c r="E859" s="480"/>
      <c r="F859" s="480"/>
      <c r="G859" s="480"/>
      <c r="H859" s="480"/>
      <c r="I859" s="480"/>
      <c r="J859" s="480"/>
      <c r="K859" s="480"/>
      <c r="L859" s="480"/>
      <c r="M859" s="480"/>
      <c r="N859" s="480"/>
      <c r="O859" s="480"/>
      <c r="P859" s="480"/>
      <c r="Q859" s="480"/>
    </row>
    <row r="860" spans="3:17">
      <c r="C860" s="685"/>
      <c r="D860" s="685"/>
      <c r="E860" s="480"/>
      <c r="F860" s="480"/>
      <c r="G860" s="480"/>
      <c r="H860" s="480"/>
      <c r="I860" s="480"/>
      <c r="J860" s="480"/>
      <c r="K860" s="480"/>
      <c r="L860" s="480"/>
      <c r="M860" s="480"/>
      <c r="N860" s="480"/>
      <c r="O860" s="480"/>
      <c r="P860" s="480"/>
      <c r="Q860" s="480"/>
    </row>
    <row r="861" spans="3:17">
      <c r="C861" s="685"/>
      <c r="D861" s="685"/>
      <c r="E861" s="480"/>
      <c r="F861" s="480"/>
      <c r="G861" s="480"/>
      <c r="H861" s="480"/>
      <c r="I861" s="480"/>
      <c r="J861" s="480"/>
      <c r="K861" s="480"/>
      <c r="L861" s="480"/>
      <c r="M861" s="480"/>
      <c r="N861" s="480"/>
      <c r="O861" s="480"/>
      <c r="P861" s="480"/>
      <c r="Q861" s="480"/>
    </row>
    <row r="862" spans="3:17">
      <c r="C862" s="685"/>
      <c r="D862" s="685"/>
      <c r="E862" s="480"/>
      <c r="F862" s="480"/>
      <c r="G862" s="480"/>
      <c r="H862" s="480"/>
      <c r="I862" s="480"/>
      <c r="J862" s="480"/>
      <c r="K862" s="480"/>
      <c r="L862" s="480"/>
      <c r="M862" s="480"/>
      <c r="N862" s="480"/>
      <c r="O862" s="480"/>
      <c r="P862" s="480"/>
      <c r="Q862" s="480"/>
    </row>
    <row r="863" spans="3:17">
      <c r="C863" s="685"/>
      <c r="D863" s="685"/>
      <c r="E863" s="480"/>
      <c r="F863" s="480"/>
      <c r="G863" s="480"/>
      <c r="H863" s="480"/>
      <c r="I863" s="480"/>
      <c r="J863" s="480"/>
      <c r="K863" s="480"/>
      <c r="L863" s="480"/>
      <c r="M863" s="480"/>
      <c r="N863" s="480"/>
      <c r="O863" s="480"/>
      <c r="P863" s="480"/>
      <c r="Q863" s="480"/>
    </row>
    <row r="864" spans="3:17">
      <c r="C864" s="685"/>
      <c r="D864" s="685"/>
      <c r="E864" s="480"/>
      <c r="F864" s="480"/>
      <c r="G864" s="480"/>
      <c r="H864" s="480"/>
      <c r="I864" s="480"/>
      <c r="J864" s="480"/>
      <c r="K864" s="480"/>
      <c r="L864" s="480"/>
      <c r="M864" s="480"/>
      <c r="N864" s="480"/>
      <c r="O864" s="480"/>
      <c r="P864" s="480"/>
      <c r="Q864" s="480"/>
    </row>
    <row r="865" spans="3:17">
      <c r="C865" s="685"/>
      <c r="D865" s="685"/>
      <c r="E865" s="480"/>
      <c r="F865" s="480"/>
      <c r="G865" s="480"/>
      <c r="H865" s="480"/>
      <c r="I865" s="480"/>
      <c r="J865" s="480"/>
      <c r="K865" s="480"/>
      <c r="L865" s="480"/>
      <c r="M865" s="480"/>
      <c r="N865" s="480"/>
      <c r="O865" s="480"/>
      <c r="P865" s="480"/>
      <c r="Q865" s="480"/>
    </row>
    <row r="866" spans="3:17">
      <c r="C866" s="685"/>
      <c r="D866" s="685"/>
      <c r="E866" s="480"/>
      <c r="F866" s="480"/>
      <c r="G866" s="480"/>
      <c r="H866" s="480"/>
      <c r="I866" s="480"/>
      <c r="J866" s="480"/>
      <c r="K866" s="480"/>
      <c r="L866" s="480"/>
      <c r="M866" s="480"/>
      <c r="N866" s="480"/>
      <c r="O866" s="480"/>
      <c r="P866" s="480"/>
      <c r="Q866" s="480"/>
    </row>
    <row r="867" spans="3:17">
      <c r="C867" s="685"/>
      <c r="D867" s="685"/>
      <c r="E867" s="480"/>
      <c r="F867" s="480"/>
      <c r="G867" s="480"/>
      <c r="H867" s="480"/>
      <c r="I867" s="480"/>
      <c r="J867" s="480"/>
      <c r="K867" s="480"/>
      <c r="L867" s="480"/>
      <c r="M867" s="480"/>
      <c r="N867" s="480"/>
      <c r="O867" s="480"/>
      <c r="P867" s="480"/>
      <c r="Q867" s="480"/>
    </row>
    <row r="868" spans="3:17">
      <c r="C868" s="685"/>
      <c r="D868" s="685"/>
      <c r="E868" s="480"/>
      <c r="F868" s="480"/>
      <c r="G868" s="480"/>
      <c r="H868" s="480"/>
      <c r="I868" s="480"/>
      <c r="J868" s="480"/>
      <c r="K868" s="480"/>
      <c r="L868" s="480"/>
      <c r="M868" s="480"/>
      <c r="N868" s="480"/>
      <c r="O868" s="480"/>
      <c r="P868" s="480"/>
      <c r="Q868" s="480"/>
    </row>
    <row r="869" spans="3:17">
      <c r="C869" s="685"/>
      <c r="D869" s="685"/>
      <c r="E869" s="480"/>
      <c r="F869" s="480"/>
      <c r="G869" s="480"/>
      <c r="H869" s="480"/>
      <c r="I869" s="480"/>
      <c r="J869" s="480"/>
      <c r="K869" s="480"/>
      <c r="L869" s="480"/>
      <c r="M869" s="480"/>
      <c r="N869" s="480"/>
      <c r="O869" s="480"/>
      <c r="P869" s="480"/>
      <c r="Q869" s="480"/>
    </row>
    <row r="870" spans="3:17">
      <c r="C870" s="685"/>
      <c r="D870" s="685"/>
      <c r="E870" s="480"/>
      <c r="F870" s="480"/>
      <c r="G870" s="480"/>
      <c r="H870" s="480"/>
      <c r="I870" s="480"/>
      <c r="J870" s="480"/>
      <c r="K870" s="480"/>
      <c r="L870" s="480"/>
      <c r="M870" s="480"/>
      <c r="N870" s="480"/>
      <c r="O870" s="480"/>
      <c r="P870" s="480"/>
      <c r="Q870" s="480"/>
    </row>
    <row r="871" spans="3:17">
      <c r="C871" s="685"/>
      <c r="D871" s="685"/>
      <c r="E871" s="480"/>
      <c r="F871" s="480"/>
      <c r="G871" s="480"/>
      <c r="H871" s="480"/>
      <c r="I871" s="480"/>
      <c r="J871" s="480"/>
      <c r="K871" s="480"/>
      <c r="L871" s="480"/>
      <c r="M871" s="480"/>
      <c r="N871" s="480"/>
      <c r="O871" s="480"/>
      <c r="P871" s="480"/>
      <c r="Q871" s="480"/>
    </row>
    <row r="872" spans="3:17">
      <c r="C872" s="685"/>
      <c r="D872" s="685"/>
      <c r="E872" s="480"/>
      <c r="F872" s="480"/>
      <c r="G872" s="480"/>
      <c r="H872" s="480"/>
      <c r="I872" s="480"/>
      <c r="J872" s="480"/>
      <c r="K872" s="480"/>
      <c r="L872" s="480"/>
      <c r="M872" s="480"/>
      <c r="N872" s="480"/>
      <c r="O872" s="480"/>
      <c r="P872" s="480"/>
      <c r="Q872" s="480"/>
    </row>
    <row r="873" spans="3:17">
      <c r="C873" s="685"/>
      <c r="D873" s="685"/>
      <c r="E873" s="480"/>
      <c r="F873" s="480"/>
      <c r="G873" s="480"/>
      <c r="H873" s="480"/>
      <c r="I873" s="480"/>
      <c r="J873" s="480"/>
      <c r="K873" s="480"/>
      <c r="L873" s="480"/>
      <c r="M873" s="480"/>
      <c r="N873" s="480"/>
      <c r="O873" s="480"/>
      <c r="P873" s="480"/>
      <c r="Q873" s="480"/>
    </row>
    <row r="874" spans="3:17">
      <c r="C874" s="685"/>
      <c r="D874" s="685"/>
      <c r="E874" s="480"/>
      <c r="F874" s="480"/>
      <c r="G874" s="480"/>
      <c r="H874" s="480"/>
      <c r="I874" s="480"/>
      <c r="J874" s="480"/>
      <c r="K874" s="480"/>
      <c r="L874" s="480"/>
      <c r="M874" s="480"/>
      <c r="N874" s="480"/>
      <c r="O874" s="480"/>
      <c r="P874" s="480"/>
      <c r="Q874" s="480"/>
    </row>
    <row r="875" spans="3:17">
      <c r="C875" s="685"/>
      <c r="D875" s="685"/>
      <c r="E875" s="480"/>
      <c r="F875" s="480"/>
      <c r="G875" s="480"/>
      <c r="H875" s="480"/>
      <c r="I875" s="480"/>
      <c r="J875" s="480"/>
      <c r="K875" s="480"/>
      <c r="L875" s="480"/>
      <c r="M875" s="480"/>
      <c r="N875" s="480"/>
      <c r="O875" s="480"/>
      <c r="P875" s="480"/>
      <c r="Q875" s="480"/>
    </row>
    <row r="876" spans="3:17">
      <c r="C876" s="685"/>
      <c r="D876" s="685"/>
      <c r="E876" s="480"/>
      <c r="F876" s="480"/>
      <c r="G876" s="480"/>
      <c r="H876" s="480"/>
      <c r="I876" s="480"/>
      <c r="J876" s="480"/>
      <c r="K876" s="480"/>
      <c r="L876" s="480"/>
      <c r="M876" s="480"/>
      <c r="N876" s="480"/>
      <c r="O876" s="480"/>
      <c r="P876" s="480"/>
      <c r="Q876" s="480"/>
    </row>
    <row r="877" spans="3:17">
      <c r="C877" s="685"/>
      <c r="D877" s="685"/>
      <c r="E877" s="480"/>
      <c r="F877" s="480"/>
      <c r="G877" s="480"/>
      <c r="H877" s="480"/>
      <c r="I877" s="480"/>
      <c r="J877" s="480"/>
      <c r="K877" s="480"/>
      <c r="L877" s="480"/>
      <c r="M877" s="480"/>
      <c r="N877" s="480"/>
      <c r="O877" s="480"/>
      <c r="P877" s="480"/>
      <c r="Q877" s="480"/>
    </row>
    <row r="878" spans="3:17">
      <c r="C878" s="685"/>
      <c r="D878" s="685"/>
      <c r="E878" s="480"/>
      <c r="F878" s="480"/>
      <c r="G878" s="480"/>
      <c r="H878" s="480"/>
      <c r="I878" s="480"/>
      <c r="J878" s="480"/>
      <c r="K878" s="480"/>
      <c r="L878" s="480"/>
      <c r="M878" s="480"/>
      <c r="N878" s="480"/>
      <c r="O878" s="480"/>
      <c r="P878" s="480"/>
      <c r="Q878" s="480"/>
    </row>
    <row r="879" spans="3:17">
      <c r="C879" s="685"/>
      <c r="D879" s="685"/>
      <c r="E879" s="480"/>
      <c r="F879" s="480"/>
      <c r="G879" s="480"/>
      <c r="H879" s="480"/>
      <c r="I879" s="480"/>
      <c r="J879" s="480"/>
      <c r="K879" s="480"/>
      <c r="L879" s="480"/>
      <c r="M879" s="480"/>
      <c r="N879" s="480"/>
      <c r="O879" s="480"/>
      <c r="P879" s="480"/>
      <c r="Q879" s="480"/>
    </row>
    <row r="880" spans="3:17">
      <c r="C880" s="685"/>
      <c r="D880" s="685"/>
      <c r="E880" s="480"/>
      <c r="F880" s="480"/>
      <c r="G880" s="480"/>
      <c r="H880" s="480"/>
      <c r="I880" s="480"/>
      <c r="J880" s="480"/>
      <c r="K880" s="480"/>
      <c r="L880" s="480"/>
      <c r="M880" s="480"/>
      <c r="N880" s="480"/>
      <c r="O880" s="480"/>
      <c r="P880" s="480"/>
      <c r="Q880" s="480"/>
    </row>
    <row r="881" spans="3:17">
      <c r="C881" s="685"/>
      <c r="D881" s="685"/>
      <c r="E881" s="480"/>
      <c r="F881" s="480"/>
      <c r="G881" s="480"/>
      <c r="H881" s="480"/>
      <c r="I881" s="480"/>
      <c r="J881" s="480"/>
      <c r="K881" s="480"/>
      <c r="L881" s="480"/>
      <c r="M881" s="480"/>
      <c r="N881" s="480"/>
      <c r="O881" s="480"/>
      <c r="P881" s="480"/>
      <c r="Q881" s="480"/>
    </row>
    <row r="882" spans="3:17">
      <c r="C882" s="685"/>
      <c r="D882" s="685"/>
      <c r="E882" s="480"/>
      <c r="F882" s="480"/>
      <c r="G882" s="480"/>
      <c r="H882" s="480"/>
      <c r="I882" s="480"/>
      <c r="J882" s="480"/>
      <c r="K882" s="480"/>
      <c r="L882" s="480"/>
      <c r="M882" s="480"/>
      <c r="N882" s="480"/>
      <c r="O882" s="480"/>
      <c r="P882" s="480"/>
      <c r="Q882" s="480"/>
    </row>
    <row r="883" spans="3:17">
      <c r="C883" s="685"/>
      <c r="D883" s="685"/>
      <c r="E883" s="480"/>
      <c r="F883" s="480"/>
      <c r="G883" s="480"/>
      <c r="H883" s="480"/>
      <c r="I883" s="480"/>
      <c r="J883" s="480"/>
      <c r="K883" s="480"/>
      <c r="L883" s="480"/>
      <c r="M883" s="480"/>
      <c r="N883" s="480"/>
      <c r="O883" s="480"/>
      <c r="P883" s="480"/>
      <c r="Q883" s="480"/>
    </row>
    <row r="884" spans="3:17">
      <c r="C884" s="685"/>
      <c r="D884" s="685"/>
      <c r="E884" s="480"/>
      <c r="F884" s="480"/>
      <c r="G884" s="480"/>
      <c r="H884" s="480"/>
      <c r="I884" s="480"/>
      <c r="J884" s="480"/>
      <c r="K884" s="480"/>
      <c r="L884" s="480"/>
      <c r="M884" s="480"/>
      <c r="N884" s="480"/>
      <c r="O884" s="480"/>
      <c r="P884" s="480"/>
      <c r="Q884" s="480"/>
    </row>
    <row r="885" spans="3:17">
      <c r="C885" s="685"/>
      <c r="D885" s="685"/>
      <c r="E885" s="480"/>
      <c r="F885" s="480"/>
      <c r="G885" s="480"/>
      <c r="H885" s="480"/>
      <c r="I885" s="480"/>
      <c r="J885" s="480"/>
      <c r="K885" s="480"/>
      <c r="L885" s="480"/>
      <c r="M885" s="480"/>
      <c r="N885" s="480"/>
      <c r="O885" s="480"/>
      <c r="P885" s="480"/>
      <c r="Q885" s="480"/>
    </row>
    <row r="886" spans="3:17">
      <c r="C886" s="685"/>
      <c r="D886" s="685"/>
      <c r="E886" s="480"/>
      <c r="F886" s="480"/>
      <c r="G886" s="480"/>
      <c r="H886" s="480"/>
      <c r="I886" s="480"/>
      <c r="J886" s="480"/>
      <c r="K886" s="480"/>
      <c r="L886" s="480"/>
      <c r="M886" s="480"/>
      <c r="N886" s="480"/>
      <c r="O886" s="480"/>
      <c r="P886" s="480"/>
      <c r="Q886" s="480"/>
    </row>
    <row r="887" spans="3:17">
      <c r="C887" s="685"/>
      <c r="D887" s="685"/>
      <c r="E887" s="480"/>
      <c r="F887" s="480"/>
      <c r="G887" s="480"/>
      <c r="H887" s="480"/>
      <c r="I887" s="480"/>
      <c r="J887" s="480"/>
      <c r="K887" s="480"/>
      <c r="L887" s="480"/>
      <c r="M887" s="480"/>
      <c r="N887" s="480"/>
      <c r="O887" s="480"/>
      <c r="P887" s="480"/>
      <c r="Q887" s="480"/>
    </row>
    <row r="888" spans="3:17">
      <c r="C888" s="685"/>
      <c r="D888" s="685"/>
      <c r="E888" s="480"/>
      <c r="F888" s="480"/>
      <c r="G888" s="480"/>
      <c r="H888" s="480"/>
      <c r="I888" s="480"/>
      <c r="J888" s="480"/>
      <c r="K888" s="480"/>
      <c r="L888" s="480"/>
      <c r="M888" s="480"/>
      <c r="N888" s="480"/>
      <c r="O888" s="480"/>
      <c r="P888" s="480"/>
      <c r="Q888" s="480"/>
    </row>
    <row r="889" spans="3:17">
      <c r="C889" s="685"/>
      <c r="D889" s="685"/>
      <c r="E889" s="480"/>
      <c r="F889" s="480"/>
      <c r="G889" s="480"/>
      <c r="H889" s="480"/>
      <c r="I889" s="480"/>
      <c r="J889" s="480"/>
      <c r="K889" s="480"/>
      <c r="L889" s="480"/>
      <c r="M889" s="480"/>
      <c r="N889" s="480"/>
      <c r="O889" s="480"/>
      <c r="P889" s="480"/>
      <c r="Q889" s="480"/>
    </row>
    <row r="890" spans="3:17">
      <c r="C890" s="685"/>
      <c r="D890" s="685"/>
      <c r="E890" s="480"/>
      <c r="F890" s="480"/>
      <c r="G890" s="480"/>
      <c r="H890" s="480"/>
      <c r="I890" s="480"/>
      <c r="J890" s="480"/>
      <c r="K890" s="480"/>
      <c r="L890" s="480"/>
      <c r="M890" s="480"/>
      <c r="N890" s="480"/>
      <c r="O890" s="480"/>
      <c r="P890" s="480"/>
      <c r="Q890" s="480"/>
    </row>
    <row r="891" spans="3:17">
      <c r="C891" s="685"/>
      <c r="D891" s="685"/>
      <c r="E891" s="480"/>
      <c r="F891" s="480"/>
      <c r="G891" s="480"/>
      <c r="H891" s="480"/>
      <c r="I891" s="480"/>
      <c r="J891" s="480"/>
      <c r="K891" s="480"/>
      <c r="L891" s="480"/>
      <c r="M891" s="480"/>
      <c r="N891" s="480"/>
      <c r="O891" s="480"/>
      <c r="P891" s="480"/>
      <c r="Q891" s="480"/>
    </row>
    <row r="892" spans="3:17">
      <c r="C892" s="685"/>
      <c r="D892" s="685"/>
      <c r="E892" s="480"/>
      <c r="F892" s="480"/>
      <c r="G892" s="480"/>
      <c r="H892" s="480"/>
      <c r="I892" s="480"/>
      <c r="J892" s="480"/>
      <c r="K892" s="480"/>
      <c r="L892" s="480"/>
      <c r="M892" s="480"/>
      <c r="N892" s="480"/>
      <c r="O892" s="480"/>
      <c r="P892" s="480"/>
      <c r="Q892" s="480"/>
    </row>
    <row r="893" spans="3:17">
      <c r="C893" s="685"/>
      <c r="D893" s="685"/>
      <c r="E893" s="480"/>
      <c r="F893" s="480"/>
      <c r="G893" s="480"/>
      <c r="H893" s="480"/>
      <c r="I893" s="480"/>
      <c r="J893" s="480"/>
      <c r="K893" s="480"/>
      <c r="L893" s="480"/>
      <c r="M893" s="480"/>
      <c r="N893" s="480"/>
      <c r="O893" s="480"/>
      <c r="P893" s="480"/>
      <c r="Q893" s="480"/>
    </row>
    <row r="894" spans="3:17">
      <c r="C894" s="685"/>
      <c r="D894" s="685"/>
      <c r="E894" s="480"/>
      <c r="F894" s="480"/>
      <c r="G894" s="480"/>
      <c r="H894" s="480"/>
      <c r="I894" s="480"/>
      <c r="J894" s="480"/>
      <c r="K894" s="480"/>
      <c r="L894" s="480"/>
      <c r="M894" s="480"/>
      <c r="N894" s="480"/>
      <c r="O894" s="480"/>
      <c r="P894" s="480"/>
      <c r="Q894" s="480"/>
    </row>
    <row r="895" spans="3:17">
      <c r="C895" s="685"/>
      <c r="D895" s="685"/>
      <c r="E895" s="480"/>
      <c r="F895" s="480"/>
      <c r="G895" s="480"/>
      <c r="H895" s="480"/>
      <c r="I895" s="480"/>
      <c r="J895" s="480"/>
      <c r="K895" s="480"/>
      <c r="L895" s="480"/>
      <c r="M895" s="480"/>
      <c r="N895" s="480"/>
      <c r="O895" s="480"/>
      <c r="P895" s="480"/>
      <c r="Q895" s="480"/>
    </row>
    <row r="896" spans="3:17">
      <c r="C896" s="685"/>
      <c r="D896" s="685"/>
      <c r="E896" s="480"/>
      <c r="F896" s="480"/>
      <c r="G896" s="480"/>
      <c r="H896" s="480"/>
      <c r="I896" s="480"/>
      <c r="J896" s="480"/>
      <c r="K896" s="480"/>
      <c r="L896" s="480"/>
      <c r="M896" s="480"/>
      <c r="N896" s="480"/>
      <c r="O896" s="480"/>
      <c r="P896" s="480"/>
      <c r="Q896" s="480"/>
    </row>
    <row r="897" spans="3:17">
      <c r="C897" s="685"/>
      <c r="D897" s="685"/>
      <c r="E897" s="480"/>
      <c r="F897" s="480"/>
      <c r="G897" s="480"/>
      <c r="H897" s="480"/>
      <c r="I897" s="480"/>
      <c r="J897" s="480"/>
      <c r="K897" s="480"/>
      <c r="L897" s="480"/>
      <c r="M897" s="480"/>
      <c r="N897" s="480"/>
      <c r="O897" s="480"/>
      <c r="P897" s="480"/>
      <c r="Q897" s="480"/>
    </row>
    <row r="898" spans="3:17">
      <c r="C898" s="685"/>
      <c r="D898" s="685"/>
      <c r="E898" s="480"/>
      <c r="F898" s="480"/>
      <c r="G898" s="480"/>
      <c r="H898" s="480"/>
      <c r="I898" s="480"/>
      <c r="J898" s="480"/>
      <c r="K898" s="480"/>
      <c r="L898" s="480"/>
      <c r="M898" s="480"/>
      <c r="N898" s="480"/>
      <c r="O898" s="480"/>
      <c r="P898" s="480"/>
      <c r="Q898" s="480"/>
    </row>
    <row r="899" spans="3:17">
      <c r="C899" s="685"/>
      <c r="D899" s="685"/>
      <c r="E899" s="480"/>
      <c r="F899" s="480"/>
      <c r="G899" s="480"/>
      <c r="H899" s="480"/>
      <c r="I899" s="480"/>
      <c r="J899" s="480"/>
      <c r="K899" s="480"/>
      <c r="L899" s="480"/>
      <c r="M899" s="480"/>
      <c r="N899" s="480"/>
      <c r="O899" s="480"/>
      <c r="P899" s="480"/>
      <c r="Q899" s="480"/>
    </row>
    <row r="900" spans="3:17">
      <c r="C900" s="685"/>
      <c r="D900" s="685"/>
      <c r="E900" s="480"/>
      <c r="F900" s="480"/>
      <c r="G900" s="480"/>
      <c r="H900" s="480"/>
      <c r="I900" s="480"/>
      <c r="J900" s="480"/>
      <c r="K900" s="480"/>
      <c r="L900" s="480"/>
      <c r="M900" s="480"/>
      <c r="N900" s="480"/>
      <c r="O900" s="480"/>
      <c r="P900" s="480"/>
      <c r="Q900" s="480"/>
    </row>
    <row r="901" spans="3:17">
      <c r="C901" s="685"/>
      <c r="D901" s="685"/>
      <c r="E901" s="480"/>
      <c r="F901" s="480"/>
      <c r="G901" s="480"/>
      <c r="H901" s="480"/>
      <c r="I901" s="480"/>
      <c r="J901" s="480"/>
      <c r="K901" s="480"/>
      <c r="L901" s="480"/>
      <c r="M901" s="480"/>
      <c r="N901" s="480"/>
      <c r="O901" s="480"/>
      <c r="P901" s="480"/>
      <c r="Q901" s="480"/>
    </row>
    <row r="902" spans="3:17">
      <c r="C902" s="685"/>
      <c r="D902" s="685"/>
      <c r="E902" s="480"/>
      <c r="F902" s="480"/>
      <c r="G902" s="480"/>
      <c r="H902" s="480"/>
      <c r="I902" s="480"/>
      <c r="J902" s="480"/>
      <c r="K902" s="480"/>
      <c r="L902" s="480"/>
      <c r="M902" s="480"/>
      <c r="N902" s="480"/>
      <c r="O902" s="480"/>
      <c r="P902" s="480"/>
      <c r="Q902" s="480"/>
    </row>
    <row r="903" spans="3:17">
      <c r="C903" s="685"/>
      <c r="D903" s="685"/>
      <c r="E903" s="480"/>
      <c r="F903" s="480"/>
      <c r="G903" s="480"/>
      <c r="H903" s="480"/>
      <c r="I903" s="480"/>
      <c r="J903" s="480"/>
      <c r="K903" s="480"/>
      <c r="L903" s="480"/>
      <c r="M903" s="480"/>
      <c r="N903" s="480"/>
      <c r="O903" s="480"/>
      <c r="P903" s="480"/>
      <c r="Q903" s="480"/>
    </row>
    <row r="904" spans="3:17">
      <c r="C904" s="685"/>
      <c r="D904" s="685"/>
      <c r="E904" s="480"/>
      <c r="F904" s="480"/>
      <c r="G904" s="480"/>
      <c r="H904" s="480"/>
      <c r="I904" s="480"/>
      <c r="J904" s="480"/>
      <c r="K904" s="480"/>
      <c r="L904" s="480"/>
      <c r="M904" s="480"/>
      <c r="N904" s="480"/>
      <c r="O904" s="480"/>
      <c r="P904" s="480"/>
      <c r="Q904" s="480"/>
    </row>
    <row r="905" spans="3:17">
      <c r="C905" s="685"/>
      <c r="D905" s="685"/>
      <c r="E905" s="480"/>
      <c r="F905" s="480"/>
      <c r="G905" s="480"/>
      <c r="H905" s="480"/>
      <c r="I905" s="480"/>
      <c r="J905" s="480"/>
      <c r="K905" s="480"/>
      <c r="L905" s="480"/>
      <c r="M905" s="480"/>
      <c r="N905" s="480"/>
      <c r="O905" s="480"/>
      <c r="P905" s="480"/>
      <c r="Q905" s="480"/>
    </row>
    <row r="906" spans="3:17">
      <c r="C906" s="685"/>
      <c r="D906" s="685"/>
      <c r="E906" s="480"/>
      <c r="F906" s="480"/>
      <c r="G906" s="480"/>
      <c r="H906" s="480"/>
      <c r="I906" s="480"/>
      <c r="J906" s="480"/>
      <c r="K906" s="480"/>
      <c r="L906" s="480"/>
      <c r="M906" s="480"/>
      <c r="N906" s="480"/>
      <c r="O906" s="480"/>
      <c r="P906" s="480"/>
      <c r="Q906" s="480"/>
    </row>
    <row r="907" spans="3:17">
      <c r="C907" s="685"/>
      <c r="D907" s="685"/>
      <c r="E907" s="480"/>
      <c r="F907" s="480"/>
      <c r="G907" s="480"/>
      <c r="H907" s="480"/>
      <c r="I907" s="480"/>
      <c r="J907" s="480"/>
      <c r="K907" s="480"/>
      <c r="L907" s="480"/>
      <c r="M907" s="480"/>
      <c r="N907" s="480"/>
      <c r="O907" s="480"/>
      <c r="P907" s="480"/>
      <c r="Q907" s="480"/>
    </row>
    <row r="908" spans="3:17">
      <c r="C908" s="685"/>
      <c r="D908" s="685"/>
      <c r="E908" s="480"/>
      <c r="F908" s="480"/>
      <c r="G908" s="480"/>
      <c r="H908" s="480"/>
      <c r="I908" s="480"/>
      <c r="J908" s="480"/>
      <c r="K908" s="480"/>
      <c r="L908" s="480"/>
      <c r="M908" s="480"/>
      <c r="N908" s="480"/>
      <c r="O908" s="480"/>
      <c r="P908" s="480"/>
      <c r="Q908" s="480"/>
    </row>
    <row r="909" spans="3:17">
      <c r="C909" s="685"/>
      <c r="D909" s="685"/>
      <c r="E909" s="480"/>
      <c r="F909" s="480"/>
      <c r="G909" s="480"/>
      <c r="H909" s="480"/>
      <c r="I909" s="480"/>
      <c r="J909" s="480"/>
      <c r="K909" s="480"/>
      <c r="L909" s="480"/>
      <c r="M909" s="480"/>
      <c r="N909" s="480"/>
      <c r="O909" s="480"/>
      <c r="P909" s="480"/>
      <c r="Q909" s="480"/>
    </row>
    <row r="910" spans="3:17">
      <c r="C910" s="685"/>
      <c r="D910" s="685"/>
      <c r="E910" s="480"/>
      <c r="F910" s="480"/>
      <c r="G910" s="480"/>
      <c r="H910" s="480"/>
      <c r="I910" s="480"/>
      <c r="J910" s="480"/>
      <c r="K910" s="480"/>
      <c r="L910" s="480"/>
      <c r="M910" s="480"/>
      <c r="N910" s="480"/>
      <c r="O910" s="480"/>
      <c r="P910" s="480"/>
      <c r="Q910" s="480"/>
    </row>
    <row r="911" spans="3:17">
      <c r="C911" s="685"/>
      <c r="D911" s="685"/>
      <c r="E911" s="480"/>
      <c r="F911" s="480"/>
      <c r="G911" s="480"/>
      <c r="H911" s="480"/>
      <c r="I911" s="480"/>
      <c r="J911" s="480"/>
      <c r="K911" s="480"/>
      <c r="L911" s="480"/>
      <c r="M911" s="480"/>
      <c r="N911" s="480"/>
      <c r="O911" s="480"/>
      <c r="P911" s="480"/>
      <c r="Q911" s="480"/>
    </row>
    <row r="912" spans="3:17">
      <c r="C912" s="685"/>
      <c r="D912" s="685"/>
      <c r="E912" s="480"/>
      <c r="F912" s="480"/>
      <c r="G912" s="480"/>
      <c r="H912" s="480"/>
      <c r="I912" s="480"/>
      <c r="J912" s="480"/>
      <c r="K912" s="480"/>
      <c r="L912" s="480"/>
      <c r="M912" s="480"/>
      <c r="N912" s="480"/>
      <c r="O912" s="480"/>
      <c r="P912" s="480"/>
      <c r="Q912" s="480"/>
    </row>
    <row r="913" spans="3:17">
      <c r="C913" s="685"/>
      <c r="D913" s="685"/>
      <c r="E913" s="480"/>
      <c r="F913" s="480"/>
      <c r="G913" s="480"/>
      <c r="H913" s="480"/>
      <c r="I913" s="480"/>
      <c r="J913" s="480"/>
      <c r="K913" s="480"/>
      <c r="L913" s="480"/>
      <c r="M913" s="480"/>
      <c r="N913" s="480"/>
      <c r="O913" s="480"/>
      <c r="P913" s="480"/>
      <c r="Q913" s="480"/>
    </row>
    <row r="914" spans="3:17">
      <c r="C914" s="685"/>
      <c r="D914" s="685"/>
      <c r="E914" s="480"/>
      <c r="F914" s="480"/>
      <c r="G914" s="480"/>
      <c r="H914" s="480"/>
      <c r="I914" s="480"/>
      <c r="J914" s="480"/>
      <c r="K914" s="480"/>
      <c r="L914" s="480"/>
      <c r="M914" s="480"/>
      <c r="N914" s="480"/>
      <c r="O914" s="480"/>
      <c r="P914" s="480"/>
      <c r="Q914" s="480"/>
    </row>
    <row r="915" spans="3:17">
      <c r="C915" s="685"/>
      <c r="D915" s="685"/>
      <c r="E915" s="480"/>
      <c r="F915" s="480"/>
      <c r="G915" s="480"/>
      <c r="H915" s="480"/>
      <c r="I915" s="480"/>
      <c r="J915" s="480"/>
      <c r="K915" s="480"/>
      <c r="L915" s="480"/>
      <c r="M915" s="480"/>
      <c r="N915" s="480"/>
      <c r="O915" s="480"/>
      <c r="P915" s="480"/>
      <c r="Q915" s="480"/>
    </row>
    <row r="916" spans="3:17">
      <c r="C916" s="685"/>
      <c r="D916" s="685"/>
      <c r="E916" s="480"/>
      <c r="F916" s="480"/>
      <c r="G916" s="480"/>
      <c r="H916" s="480"/>
      <c r="I916" s="480"/>
      <c r="J916" s="480"/>
      <c r="K916" s="480"/>
      <c r="L916" s="480"/>
      <c r="M916" s="480"/>
      <c r="N916" s="480"/>
      <c r="O916" s="480"/>
      <c r="P916" s="480"/>
      <c r="Q916" s="480"/>
    </row>
    <row r="917" spans="3:17">
      <c r="C917" s="685"/>
      <c r="D917" s="685"/>
      <c r="E917" s="480"/>
      <c r="F917" s="480"/>
      <c r="G917" s="480"/>
      <c r="H917" s="480"/>
      <c r="I917" s="480"/>
      <c r="J917" s="480"/>
      <c r="K917" s="480"/>
      <c r="L917" s="480"/>
      <c r="M917" s="480"/>
      <c r="N917" s="480"/>
      <c r="O917" s="480"/>
      <c r="P917" s="480"/>
      <c r="Q917" s="480"/>
    </row>
    <row r="918" spans="3:17">
      <c r="C918" s="685"/>
      <c r="D918" s="685"/>
      <c r="E918" s="480"/>
      <c r="F918" s="480"/>
      <c r="G918" s="480"/>
      <c r="H918" s="480"/>
      <c r="I918" s="480"/>
      <c r="J918" s="480"/>
      <c r="K918" s="480"/>
      <c r="L918" s="480"/>
      <c r="M918" s="480"/>
      <c r="N918" s="480"/>
      <c r="O918" s="480"/>
      <c r="P918" s="480"/>
      <c r="Q918" s="480"/>
    </row>
    <row r="919" spans="3:17">
      <c r="C919" s="685"/>
      <c r="D919" s="685"/>
      <c r="E919" s="480"/>
      <c r="F919" s="480"/>
      <c r="G919" s="480"/>
      <c r="H919" s="480"/>
      <c r="I919" s="480"/>
      <c r="J919" s="480"/>
      <c r="K919" s="480"/>
      <c r="L919" s="480"/>
      <c r="M919" s="480"/>
      <c r="N919" s="480"/>
      <c r="O919" s="480"/>
      <c r="P919" s="480"/>
      <c r="Q919" s="480"/>
    </row>
    <row r="920" spans="3:17">
      <c r="C920" s="685"/>
      <c r="D920" s="685"/>
      <c r="E920" s="480"/>
      <c r="F920" s="480"/>
      <c r="G920" s="480"/>
      <c r="H920" s="480"/>
      <c r="I920" s="480"/>
      <c r="J920" s="480"/>
      <c r="K920" s="480"/>
      <c r="L920" s="480"/>
      <c r="M920" s="480"/>
      <c r="N920" s="480"/>
      <c r="O920" s="480"/>
      <c r="P920" s="480"/>
      <c r="Q920" s="480"/>
    </row>
    <row r="921" spans="3:17">
      <c r="C921" s="685"/>
      <c r="D921" s="685"/>
      <c r="E921" s="480"/>
      <c r="F921" s="480"/>
      <c r="G921" s="480"/>
      <c r="H921" s="480"/>
      <c r="I921" s="480"/>
      <c r="J921" s="480"/>
      <c r="K921" s="480"/>
      <c r="L921" s="480"/>
      <c r="M921" s="480"/>
      <c r="N921" s="480"/>
      <c r="O921" s="480"/>
      <c r="P921" s="480"/>
      <c r="Q921" s="480"/>
    </row>
    <row r="922" spans="3:17">
      <c r="C922" s="685"/>
      <c r="D922" s="685"/>
      <c r="E922" s="480"/>
      <c r="F922" s="480"/>
      <c r="G922" s="480"/>
      <c r="H922" s="480"/>
      <c r="I922" s="480"/>
      <c r="J922" s="480"/>
      <c r="K922" s="480"/>
      <c r="L922" s="480"/>
      <c r="M922" s="480"/>
      <c r="N922" s="480"/>
      <c r="O922" s="480"/>
      <c r="P922" s="480"/>
      <c r="Q922" s="480"/>
    </row>
    <row r="923" spans="3:17">
      <c r="C923" s="685"/>
      <c r="D923" s="685"/>
      <c r="E923" s="480"/>
      <c r="F923" s="480"/>
      <c r="G923" s="480"/>
      <c r="H923" s="480"/>
      <c r="I923" s="480"/>
      <c r="J923" s="480"/>
      <c r="K923" s="480"/>
      <c r="L923" s="480"/>
      <c r="M923" s="480"/>
      <c r="N923" s="480"/>
      <c r="O923" s="480"/>
      <c r="P923" s="480"/>
      <c r="Q923" s="480"/>
    </row>
    <row r="924" spans="3:17">
      <c r="C924" s="685"/>
      <c r="D924" s="685"/>
      <c r="E924" s="480"/>
      <c r="F924" s="480"/>
      <c r="G924" s="480"/>
      <c r="H924" s="480"/>
      <c r="I924" s="480"/>
      <c r="J924" s="480"/>
      <c r="K924" s="480"/>
      <c r="L924" s="480"/>
      <c r="M924" s="480"/>
      <c r="N924" s="480"/>
      <c r="O924" s="480"/>
      <c r="P924" s="480"/>
      <c r="Q924" s="480"/>
    </row>
    <row r="925" spans="3:17">
      <c r="C925" s="685"/>
      <c r="D925" s="685"/>
      <c r="E925" s="480"/>
      <c r="F925" s="480"/>
      <c r="G925" s="480"/>
      <c r="H925" s="480"/>
      <c r="I925" s="480"/>
      <c r="J925" s="480"/>
      <c r="K925" s="480"/>
      <c r="L925" s="480"/>
      <c r="M925" s="480"/>
      <c r="N925" s="480"/>
      <c r="O925" s="480"/>
      <c r="P925" s="480"/>
      <c r="Q925" s="480"/>
    </row>
    <row r="926" spans="3:17">
      <c r="C926" s="685"/>
      <c r="D926" s="685"/>
      <c r="E926" s="480"/>
      <c r="F926" s="480"/>
      <c r="G926" s="480"/>
      <c r="H926" s="480"/>
      <c r="I926" s="480"/>
      <c r="J926" s="480"/>
      <c r="K926" s="480"/>
      <c r="L926" s="480"/>
      <c r="M926" s="480"/>
      <c r="N926" s="480"/>
      <c r="O926" s="480"/>
      <c r="P926" s="480"/>
      <c r="Q926" s="480"/>
    </row>
    <row r="927" spans="3:17">
      <c r="C927" s="685"/>
      <c r="D927" s="685"/>
      <c r="E927" s="480"/>
      <c r="F927" s="480"/>
      <c r="G927" s="480"/>
      <c r="H927" s="480"/>
      <c r="I927" s="480"/>
      <c r="J927" s="480"/>
      <c r="K927" s="480"/>
      <c r="L927" s="480"/>
      <c r="M927" s="480"/>
      <c r="N927" s="480"/>
      <c r="O927" s="480"/>
      <c r="P927" s="480"/>
      <c r="Q927" s="480"/>
    </row>
    <row r="928" spans="3:17">
      <c r="C928" s="685"/>
      <c r="D928" s="685"/>
      <c r="E928" s="480"/>
      <c r="F928" s="480"/>
      <c r="G928" s="480"/>
      <c r="H928" s="480"/>
      <c r="I928" s="480"/>
      <c r="J928" s="480"/>
      <c r="K928" s="480"/>
      <c r="L928" s="480"/>
      <c r="M928" s="480"/>
      <c r="N928" s="480"/>
      <c r="O928" s="480"/>
      <c r="P928" s="480"/>
      <c r="Q928" s="480"/>
    </row>
    <row r="929" spans="3:17">
      <c r="C929" s="685"/>
      <c r="D929" s="685"/>
      <c r="E929" s="480"/>
      <c r="F929" s="480"/>
      <c r="G929" s="480"/>
      <c r="H929" s="480"/>
      <c r="I929" s="480"/>
      <c r="J929" s="480"/>
      <c r="K929" s="480"/>
      <c r="L929" s="480"/>
      <c r="M929" s="480"/>
      <c r="N929" s="480"/>
      <c r="O929" s="480"/>
      <c r="P929" s="480"/>
      <c r="Q929" s="480"/>
    </row>
    <row r="930" spans="3:17">
      <c r="C930" s="685"/>
      <c r="D930" s="685"/>
      <c r="E930" s="480"/>
      <c r="F930" s="480"/>
      <c r="G930" s="480"/>
      <c r="H930" s="480"/>
      <c r="I930" s="480"/>
      <c r="J930" s="480"/>
      <c r="K930" s="480"/>
      <c r="L930" s="480"/>
      <c r="M930" s="480"/>
      <c r="N930" s="480"/>
      <c r="O930" s="480"/>
      <c r="P930" s="480"/>
      <c r="Q930" s="480"/>
    </row>
    <row r="931" spans="3:17">
      <c r="C931" s="685"/>
      <c r="D931" s="685"/>
      <c r="E931" s="480"/>
      <c r="F931" s="480"/>
      <c r="G931" s="480"/>
      <c r="H931" s="480"/>
      <c r="I931" s="480"/>
      <c r="J931" s="480"/>
      <c r="K931" s="480"/>
      <c r="L931" s="480"/>
      <c r="M931" s="480"/>
      <c r="N931" s="480"/>
      <c r="O931" s="480"/>
      <c r="P931" s="480"/>
      <c r="Q931" s="480"/>
    </row>
    <row r="932" spans="3:17">
      <c r="C932" s="685"/>
      <c r="D932" s="685"/>
      <c r="E932" s="480"/>
      <c r="F932" s="480"/>
      <c r="G932" s="480"/>
      <c r="H932" s="480"/>
      <c r="I932" s="480"/>
      <c r="J932" s="480"/>
      <c r="K932" s="480"/>
      <c r="L932" s="480"/>
      <c r="M932" s="480"/>
      <c r="N932" s="480"/>
      <c r="O932" s="480"/>
      <c r="P932" s="480"/>
      <c r="Q932" s="480"/>
    </row>
    <row r="933" spans="3:17">
      <c r="C933" s="685"/>
      <c r="D933" s="685"/>
      <c r="E933" s="480"/>
      <c r="F933" s="480"/>
      <c r="G933" s="480"/>
      <c r="H933" s="480"/>
      <c r="I933" s="480"/>
      <c r="J933" s="480"/>
      <c r="K933" s="480"/>
      <c r="L933" s="480"/>
      <c r="M933" s="480"/>
      <c r="N933" s="480"/>
      <c r="O933" s="480"/>
      <c r="P933" s="480"/>
      <c r="Q933" s="480"/>
    </row>
    <row r="934" spans="3:17">
      <c r="C934" s="685"/>
      <c r="D934" s="685"/>
      <c r="E934" s="480"/>
      <c r="F934" s="480"/>
      <c r="G934" s="480"/>
      <c r="H934" s="480"/>
      <c r="I934" s="480"/>
      <c r="J934" s="480"/>
      <c r="K934" s="480"/>
      <c r="L934" s="480"/>
      <c r="M934" s="480"/>
      <c r="N934" s="480"/>
      <c r="O934" s="480"/>
      <c r="P934" s="480"/>
      <c r="Q934" s="480"/>
    </row>
    <row r="935" spans="3:17">
      <c r="C935" s="685"/>
      <c r="D935" s="685"/>
      <c r="E935" s="480"/>
      <c r="F935" s="480"/>
      <c r="G935" s="480"/>
      <c r="H935" s="480"/>
      <c r="I935" s="480"/>
      <c r="J935" s="480"/>
      <c r="K935" s="480"/>
      <c r="L935" s="480"/>
      <c r="M935" s="480"/>
      <c r="N935" s="480"/>
      <c r="O935" s="480"/>
      <c r="P935" s="480"/>
      <c r="Q935" s="480"/>
    </row>
    <row r="936" spans="3:17">
      <c r="C936" s="685"/>
      <c r="D936" s="685"/>
      <c r="E936" s="480"/>
      <c r="F936" s="480"/>
      <c r="G936" s="480"/>
      <c r="H936" s="480"/>
      <c r="I936" s="480"/>
      <c r="J936" s="480"/>
      <c r="K936" s="480"/>
      <c r="L936" s="480"/>
      <c r="M936" s="480"/>
      <c r="N936" s="480"/>
      <c r="O936" s="480"/>
      <c r="P936" s="480"/>
      <c r="Q936" s="480"/>
    </row>
    <row r="937" spans="3:17">
      <c r="C937" s="685"/>
      <c r="D937" s="685"/>
      <c r="E937" s="480"/>
      <c r="F937" s="480"/>
      <c r="G937" s="480"/>
      <c r="H937" s="480"/>
      <c r="I937" s="480"/>
      <c r="J937" s="480"/>
      <c r="K937" s="480"/>
      <c r="L937" s="480"/>
      <c r="M937" s="480"/>
      <c r="N937" s="480"/>
      <c r="O937" s="480"/>
      <c r="P937" s="480"/>
      <c r="Q937" s="480"/>
    </row>
    <row r="938" spans="3:17">
      <c r="C938" s="685"/>
      <c r="D938" s="685"/>
      <c r="E938" s="480"/>
      <c r="F938" s="480"/>
      <c r="G938" s="480"/>
      <c r="H938" s="480"/>
      <c r="I938" s="480"/>
      <c r="J938" s="480"/>
      <c r="K938" s="480"/>
      <c r="L938" s="480"/>
      <c r="M938" s="480"/>
      <c r="N938" s="480"/>
      <c r="O938" s="480"/>
      <c r="P938" s="480"/>
      <c r="Q938" s="480"/>
    </row>
    <row r="939" spans="3:17">
      <c r="C939" s="685"/>
      <c r="D939" s="685"/>
      <c r="E939" s="480"/>
      <c r="F939" s="480"/>
      <c r="G939" s="480"/>
      <c r="H939" s="480"/>
      <c r="I939" s="480"/>
      <c r="J939" s="480"/>
      <c r="K939" s="480"/>
      <c r="L939" s="480"/>
      <c r="M939" s="480"/>
      <c r="N939" s="480"/>
      <c r="O939" s="480"/>
      <c r="P939" s="480"/>
      <c r="Q939" s="480"/>
    </row>
    <row r="940" spans="3:17">
      <c r="C940" s="685"/>
      <c r="D940" s="685"/>
      <c r="E940" s="480"/>
      <c r="F940" s="480"/>
      <c r="G940" s="480"/>
      <c r="H940" s="480"/>
      <c r="I940" s="480"/>
      <c r="J940" s="480"/>
      <c r="K940" s="480"/>
      <c r="L940" s="480"/>
      <c r="M940" s="480"/>
      <c r="N940" s="480"/>
      <c r="O940" s="480"/>
      <c r="P940" s="480"/>
      <c r="Q940" s="480"/>
    </row>
    <row r="941" spans="3:17">
      <c r="C941" s="685"/>
      <c r="D941" s="685"/>
      <c r="E941" s="480"/>
      <c r="F941" s="480"/>
      <c r="G941" s="480"/>
      <c r="H941" s="480"/>
      <c r="I941" s="480"/>
      <c r="J941" s="480"/>
      <c r="K941" s="480"/>
      <c r="L941" s="480"/>
      <c r="M941" s="480"/>
      <c r="N941" s="480"/>
      <c r="O941" s="480"/>
      <c r="P941" s="480"/>
      <c r="Q941" s="480"/>
    </row>
    <row r="942" spans="3:17">
      <c r="C942" s="685"/>
      <c r="D942" s="685"/>
      <c r="E942" s="480"/>
      <c r="F942" s="480"/>
      <c r="G942" s="480"/>
      <c r="H942" s="480"/>
      <c r="I942" s="480"/>
      <c r="J942" s="480"/>
      <c r="K942" s="480"/>
      <c r="L942" s="480"/>
      <c r="M942" s="480"/>
      <c r="N942" s="480"/>
      <c r="O942" s="480"/>
      <c r="P942" s="480"/>
      <c r="Q942" s="480"/>
    </row>
    <row r="943" spans="3:17">
      <c r="C943" s="685"/>
      <c r="D943" s="685"/>
      <c r="E943" s="480"/>
      <c r="F943" s="480"/>
      <c r="G943" s="480"/>
      <c r="H943" s="480"/>
      <c r="I943" s="480"/>
      <c r="J943" s="480"/>
      <c r="K943" s="480"/>
      <c r="L943" s="480"/>
      <c r="M943" s="480"/>
      <c r="N943" s="480"/>
      <c r="O943" s="480"/>
      <c r="P943" s="480"/>
      <c r="Q943" s="480"/>
    </row>
    <row r="944" spans="3:17">
      <c r="C944" s="685"/>
      <c r="D944" s="685"/>
      <c r="E944" s="480"/>
      <c r="F944" s="480"/>
      <c r="G944" s="480"/>
      <c r="H944" s="480"/>
      <c r="I944" s="480"/>
      <c r="J944" s="480"/>
      <c r="K944" s="480"/>
      <c r="L944" s="480"/>
      <c r="M944" s="480"/>
      <c r="N944" s="480"/>
      <c r="O944" s="480"/>
      <c r="P944" s="480"/>
      <c r="Q944" s="480"/>
    </row>
    <row r="945" spans="3:17">
      <c r="C945" s="685"/>
      <c r="D945" s="685"/>
      <c r="E945" s="480"/>
      <c r="F945" s="480"/>
      <c r="G945" s="480"/>
      <c r="H945" s="480"/>
      <c r="I945" s="480"/>
      <c r="J945" s="480"/>
      <c r="K945" s="480"/>
      <c r="L945" s="480"/>
      <c r="M945" s="480"/>
      <c r="N945" s="480"/>
      <c r="O945" s="480"/>
      <c r="P945" s="480"/>
      <c r="Q945" s="480"/>
    </row>
    <row r="946" spans="3:17">
      <c r="C946" s="685"/>
      <c r="D946" s="685"/>
      <c r="E946" s="480"/>
      <c r="F946" s="480"/>
      <c r="G946" s="480"/>
      <c r="H946" s="480"/>
      <c r="I946" s="480"/>
      <c r="J946" s="480"/>
      <c r="K946" s="480"/>
      <c r="L946" s="480"/>
      <c r="M946" s="480"/>
      <c r="N946" s="480"/>
      <c r="O946" s="480"/>
      <c r="P946" s="480"/>
      <c r="Q946" s="480"/>
    </row>
    <row r="947" spans="3:17">
      <c r="C947" s="685"/>
      <c r="D947" s="685"/>
      <c r="E947" s="480"/>
      <c r="F947" s="480"/>
      <c r="G947" s="480"/>
      <c r="H947" s="480"/>
      <c r="I947" s="480"/>
      <c r="J947" s="480"/>
      <c r="K947" s="480"/>
      <c r="L947" s="480"/>
      <c r="M947" s="480"/>
      <c r="N947" s="480"/>
      <c r="O947" s="480"/>
      <c r="P947" s="480"/>
      <c r="Q947" s="480"/>
    </row>
    <row r="948" spans="3:17">
      <c r="C948" s="685"/>
      <c r="D948" s="685"/>
      <c r="E948" s="480"/>
      <c r="F948" s="480"/>
      <c r="G948" s="480"/>
      <c r="H948" s="480"/>
      <c r="I948" s="480"/>
      <c r="J948" s="480"/>
      <c r="K948" s="480"/>
      <c r="L948" s="480"/>
      <c r="M948" s="480"/>
      <c r="N948" s="480"/>
      <c r="O948" s="480"/>
      <c r="P948" s="480"/>
      <c r="Q948" s="480"/>
    </row>
    <row r="949" spans="3:17">
      <c r="C949" s="685"/>
      <c r="D949" s="685"/>
      <c r="E949" s="480"/>
      <c r="F949" s="480"/>
      <c r="G949" s="480"/>
      <c r="H949" s="480"/>
      <c r="I949" s="480"/>
      <c r="J949" s="480"/>
      <c r="K949" s="480"/>
      <c r="L949" s="480"/>
      <c r="M949" s="480"/>
      <c r="N949" s="480"/>
      <c r="O949" s="480"/>
      <c r="P949" s="480"/>
      <c r="Q949" s="480"/>
    </row>
    <row r="950" spans="3:17">
      <c r="C950" s="685"/>
      <c r="D950" s="685"/>
      <c r="E950" s="480"/>
      <c r="F950" s="480"/>
      <c r="G950" s="480"/>
      <c r="H950" s="480"/>
      <c r="I950" s="480"/>
      <c r="J950" s="480"/>
      <c r="K950" s="480"/>
      <c r="L950" s="480"/>
      <c r="M950" s="480"/>
      <c r="N950" s="480"/>
      <c r="O950" s="480"/>
      <c r="P950" s="480"/>
      <c r="Q950" s="480"/>
    </row>
    <row r="951" spans="3:17">
      <c r="C951" s="685"/>
      <c r="D951" s="685"/>
      <c r="E951" s="480"/>
      <c r="F951" s="480"/>
      <c r="G951" s="480"/>
      <c r="H951" s="480"/>
      <c r="I951" s="480"/>
      <c r="J951" s="480"/>
      <c r="K951" s="480"/>
      <c r="L951" s="480"/>
      <c r="M951" s="480"/>
      <c r="N951" s="480"/>
      <c r="O951" s="480"/>
      <c r="P951" s="480"/>
      <c r="Q951" s="480"/>
    </row>
    <row r="952" spans="3:17">
      <c r="C952" s="685"/>
      <c r="D952" s="685"/>
      <c r="E952" s="480"/>
      <c r="F952" s="480"/>
      <c r="G952" s="480"/>
      <c r="H952" s="480"/>
      <c r="I952" s="480"/>
      <c r="J952" s="480"/>
      <c r="K952" s="480"/>
      <c r="L952" s="480"/>
      <c r="M952" s="480"/>
      <c r="N952" s="480"/>
      <c r="O952" s="480"/>
      <c r="P952" s="480"/>
      <c r="Q952" s="480"/>
    </row>
    <row r="953" spans="3:17">
      <c r="C953" s="685"/>
      <c r="D953" s="685"/>
      <c r="E953" s="480"/>
      <c r="F953" s="480"/>
      <c r="G953" s="480"/>
      <c r="H953" s="480"/>
      <c r="I953" s="480"/>
      <c r="J953" s="480"/>
      <c r="K953" s="480"/>
      <c r="L953" s="480"/>
      <c r="M953" s="480"/>
      <c r="N953" s="480"/>
      <c r="O953" s="480"/>
      <c r="P953" s="480"/>
      <c r="Q953" s="480"/>
    </row>
    <row r="954" spans="3:17">
      <c r="C954" s="685"/>
      <c r="D954" s="685"/>
      <c r="E954" s="480"/>
      <c r="F954" s="480"/>
      <c r="G954" s="480"/>
      <c r="H954" s="480"/>
      <c r="I954" s="480"/>
      <c r="J954" s="480"/>
      <c r="K954" s="480"/>
      <c r="L954" s="480"/>
      <c r="M954" s="480"/>
      <c r="N954" s="480"/>
      <c r="O954" s="480"/>
      <c r="P954" s="480"/>
      <c r="Q954" s="480"/>
    </row>
    <row r="955" spans="3:17">
      <c r="C955" s="685"/>
      <c r="D955" s="685"/>
      <c r="E955" s="480"/>
      <c r="F955" s="480"/>
      <c r="G955" s="480"/>
      <c r="H955" s="480"/>
      <c r="I955" s="480"/>
      <c r="J955" s="480"/>
      <c r="K955" s="480"/>
      <c r="L955" s="480"/>
      <c r="M955" s="480"/>
      <c r="N955" s="480"/>
      <c r="O955" s="480"/>
      <c r="P955" s="480"/>
      <c r="Q955" s="480"/>
    </row>
    <row r="956" spans="3:17">
      <c r="C956" s="685"/>
      <c r="D956" s="685"/>
      <c r="E956" s="480"/>
      <c r="F956" s="480"/>
      <c r="G956" s="480"/>
      <c r="H956" s="480"/>
      <c r="I956" s="480"/>
      <c r="J956" s="480"/>
      <c r="K956" s="480"/>
      <c r="L956" s="480"/>
      <c r="M956" s="480"/>
      <c r="N956" s="480"/>
      <c r="O956" s="480"/>
      <c r="P956" s="480"/>
      <c r="Q956" s="480"/>
    </row>
    <row r="957" spans="3:17">
      <c r="C957" s="685"/>
      <c r="D957" s="685"/>
      <c r="E957" s="480"/>
      <c r="F957" s="480"/>
      <c r="G957" s="480"/>
      <c r="H957" s="480"/>
      <c r="I957" s="480"/>
      <c r="J957" s="480"/>
      <c r="K957" s="480"/>
      <c r="L957" s="480"/>
      <c r="M957" s="480"/>
      <c r="N957" s="480"/>
      <c r="O957" s="480"/>
      <c r="P957" s="480"/>
      <c r="Q957" s="480"/>
    </row>
    <row r="958" spans="3:17">
      <c r="C958" s="685"/>
      <c r="D958" s="685"/>
      <c r="E958" s="480"/>
      <c r="F958" s="480"/>
      <c r="G958" s="480"/>
      <c r="H958" s="480"/>
      <c r="I958" s="480"/>
      <c r="J958" s="480"/>
      <c r="K958" s="480"/>
      <c r="L958" s="480"/>
      <c r="M958" s="480"/>
      <c r="N958" s="480"/>
      <c r="O958" s="480"/>
      <c r="P958" s="480"/>
      <c r="Q958" s="480"/>
    </row>
    <row r="959" spans="3:17">
      <c r="C959" s="685"/>
      <c r="D959" s="685"/>
      <c r="E959" s="480"/>
      <c r="F959" s="480"/>
      <c r="G959" s="480"/>
      <c r="H959" s="480"/>
      <c r="I959" s="480"/>
      <c r="J959" s="480"/>
      <c r="K959" s="480"/>
      <c r="L959" s="480"/>
      <c r="M959" s="480"/>
      <c r="N959" s="480"/>
      <c r="O959" s="480"/>
      <c r="P959" s="480"/>
      <c r="Q959" s="480"/>
    </row>
    <row r="960" spans="3:17">
      <c r="C960" s="685"/>
      <c r="D960" s="685"/>
      <c r="E960" s="480"/>
      <c r="F960" s="480"/>
      <c r="G960" s="480"/>
      <c r="H960" s="480"/>
      <c r="I960" s="480"/>
      <c r="J960" s="480"/>
      <c r="K960" s="480"/>
      <c r="L960" s="480"/>
      <c r="M960" s="480"/>
      <c r="N960" s="480"/>
      <c r="O960" s="480"/>
      <c r="P960" s="480"/>
      <c r="Q960" s="480"/>
    </row>
    <row r="961" spans="3:17">
      <c r="C961" s="685"/>
      <c r="D961" s="685"/>
      <c r="E961" s="480"/>
      <c r="F961" s="480"/>
      <c r="G961" s="480"/>
      <c r="H961" s="480"/>
      <c r="I961" s="480"/>
      <c r="J961" s="480"/>
      <c r="K961" s="480"/>
      <c r="L961" s="480"/>
      <c r="M961" s="480"/>
      <c r="N961" s="480"/>
      <c r="O961" s="480"/>
      <c r="P961" s="480"/>
      <c r="Q961" s="480"/>
    </row>
    <row r="962" spans="3:17">
      <c r="C962" s="685"/>
      <c r="D962" s="685"/>
      <c r="E962" s="480"/>
      <c r="F962" s="480"/>
      <c r="G962" s="480"/>
      <c r="H962" s="480"/>
      <c r="I962" s="480"/>
      <c r="J962" s="480"/>
      <c r="K962" s="480"/>
      <c r="L962" s="480"/>
      <c r="M962" s="480"/>
      <c r="N962" s="480"/>
      <c r="O962" s="480"/>
      <c r="P962" s="480"/>
      <c r="Q962" s="480"/>
    </row>
    <row r="963" spans="3:17">
      <c r="C963" s="685"/>
      <c r="D963" s="685"/>
      <c r="E963" s="480"/>
      <c r="F963" s="480"/>
      <c r="G963" s="480"/>
      <c r="H963" s="480"/>
      <c r="I963" s="480"/>
      <c r="J963" s="480"/>
      <c r="K963" s="480"/>
      <c r="L963" s="480"/>
      <c r="M963" s="480"/>
      <c r="N963" s="480"/>
      <c r="O963" s="480"/>
      <c r="P963" s="480"/>
      <c r="Q963" s="480"/>
    </row>
    <row r="964" spans="3:17">
      <c r="C964" s="685"/>
      <c r="D964" s="685"/>
      <c r="E964" s="480"/>
      <c r="F964" s="480"/>
      <c r="G964" s="480"/>
      <c r="H964" s="480"/>
      <c r="I964" s="480"/>
      <c r="J964" s="480"/>
      <c r="K964" s="480"/>
      <c r="L964" s="480"/>
      <c r="M964" s="480"/>
      <c r="N964" s="480"/>
      <c r="O964" s="480"/>
      <c r="P964" s="480"/>
      <c r="Q964" s="480"/>
    </row>
    <row r="965" spans="3:17">
      <c r="C965" s="685"/>
      <c r="D965" s="685"/>
      <c r="E965" s="480"/>
      <c r="F965" s="480"/>
      <c r="G965" s="480"/>
      <c r="H965" s="480"/>
      <c r="I965" s="480"/>
      <c r="J965" s="480"/>
      <c r="K965" s="480"/>
      <c r="L965" s="480"/>
      <c r="M965" s="480"/>
      <c r="N965" s="480"/>
      <c r="O965" s="480"/>
      <c r="P965" s="480"/>
      <c r="Q965" s="480"/>
    </row>
    <row r="966" spans="3:17">
      <c r="C966" s="685"/>
      <c r="D966" s="685"/>
      <c r="E966" s="480"/>
      <c r="F966" s="480"/>
      <c r="G966" s="480"/>
      <c r="H966" s="480"/>
      <c r="I966" s="480"/>
      <c r="J966" s="480"/>
      <c r="K966" s="480"/>
      <c r="L966" s="480"/>
      <c r="M966" s="480"/>
      <c r="N966" s="480"/>
      <c r="O966" s="480"/>
      <c r="P966" s="480"/>
      <c r="Q966" s="480"/>
    </row>
    <row r="967" spans="3:17">
      <c r="C967" s="685"/>
      <c r="D967" s="685"/>
      <c r="E967" s="480"/>
      <c r="F967" s="480"/>
      <c r="G967" s="480"/>
      <c r="H967" s="480"/>
      <c r="I967" s="480"/>
      <c r="J967" s="480"/>
      <c r="K967" s="480"/>
      <c r="L967" s="480"/>
      <c r="M967" s="480"/>
      <c r="N967" s="480"/>
      <c r="O967" s="480"/>
      <c r="P967" s="480"/>
      <c r="Q967" s="480"/>
    </row>
    <row r="968" spans="3:17">
      <c r="C968" s="685"/>
      <c r="D968" s="685"/>
      <c r="E968" s="480"/>
      <c r="F968" s="480"/>
      <c r="G968" s="480"/>
      <c r="H968" s="480"/>
      <c r="I968" s="480"/>
      <c r="J968" s="480"/>
      <c r="K968" s="480"/>
      <c r="L968" s="480"/>
      <c r="M968" s="480"/>
      <c r="N968" s="480"/>
      <c r="O968" s="480"/>
      <c r="P968" s="480"/>
      <c r="Q968" s="480"/>
    </row>
    <row r="969" spans="3:17">
      <c r="C969" s="685"/>
      <c r="D969" s="685"/>
      <c r="E969" s="480"/>
      <c r="F969" s="480"/>
      <c r="G969" s="480"/>
      <c r="H969" s="480"/>
      <c r="I969" s="480"/>
      <c r="J969" s="480"/>
      <c r="K969" s="480"/>
      <c r="L969" s="480"/>
      <c r="M969" s="480"/>
      <c r="N969" s="480"/>
      <c r="O969" s="480"/>
      <c r="P969" s="480"/>
      <c r="Q969" s="480"/>
    </row>
    <row r="970" spans="3:17">
      <c r="C970" s="685"/>
      <c r="D970" s="685"/>
      <c r="E970" s="480"/>
      <c r="F970" s="480"/>
      <c r="G970" s="480"/>
      <c r="H970" s="480"/>
      <c r="I970" s="480"/>
      <c r="J970" s="480"/>
      <c r="K970" s="480"/>
      <c r="L970" s="480"/>
      <c r="M970" s="480"/>
      <c r="N970" s="480"/>
      <c r="O970" s="480"/>
      <c r="P970" s="480"/>
      <c r="Q970" s="480"/>
    </row>
    <row r="971" spans="3:17">
      <c r="C971" s="685"/>
      <c r="D971" s="685"/>
      <c r="E971" s="480"/>
      <c r="F971" s="480"/>
      <c r="G971" s="480"/>
      <c r="H971" s="480"/>
      <c r="I971" s="480"/>
      <c r="J971" s="480"/>
      <c r="K971" s="480"/>
      <c r="L971" s="480"/>
      <c r="M971" s="480"/>
      <c r="N971" s="480"/>
      <c r="O971" s="480"/>
      <c r="P971" s="480"/>
      <c r="Q971" s="480"/>
    </row>
    <row r="972" spans="3:17">
      <c r="C972" s="685"/>
      <c r="D972" s="685"/>
      <c r="E972" s="480"/>
      <c r="F972" s="480"/>
      <c r="G972" s="480"/>
      <c r="H972" s="480"/>
      <c r="I972" s="480"/>
      <c r="J972" s="480"/>
      <c r="K972" s="480"/>
      <c r="L972" s="480"/>
      <c r="M972" s="480"/>
      <c r="N972" s="480"/>
      <c r="O972" s="480"/>
      <c r="P972" s="480"/>
      <c r="Q972" s="480"/>
    </row>
    <row r="973" spans="3:17">
      <c r="C973" s="685"/>
      <c r="D973" s="685"/>
      <c r="E973" s="480"/>
      <c r="F973" s="480"/>
      <c r="G973" s="480"/>
      <c r="H973" s="480"/>
      <c r="I973" s="480"/>
      <c r="J973" s="480"/>
      <c r="K973" s="480"/>
      <c r="L973" s="480"/>
      <c r="M973" s="480"/>
      <c r="N973" s="480"/>
      <c r="O973" s="480"/>
      <c r="P973" s="480"/>
      <c r="Q973" s="480"/>
    </row>
    <row r="974" spans="3:17">
      <c r="C974" s="685"/>
      <c r="D974" s="685"/>
      <c r="E974" s="480"/>
      <c r="F974" s="480"/>
      <c r="G974" s="480"/>
      <c r="H974" s="480"/>
      <c r="I974" s="480"/>
      <c r="J974" s="480"/>
      <c r="K974" s="480"/>
      <c r="L974" s="480"/>
      <c r="M974" s="480"/>
      <c r="N974" s="480"/>
      <c r="O974" s="480"/>
      <c r="P974" s="480"/>
      <c r="Q974" s="480"/>
    </row>
    <row r="975" spans="3:17">
      <c r="C975" s="685"/>
      <c r="D975" s="685"/>
      <c r="E975" s="480"/>
      <c r="F975" s="480"/>
      <c r="G975" s="480"/>
      <c r="H975" s="480"/>
      <c r="I975" s="480"/>
      <c r="J975" s="480"/>
      <c r="K975" s="480"/>
      <c r="L975" s="480"/>
      <c r="M975" s="480"/>
      <c r="N975" s="480"/>
      <c r="O975" s="480"/>
      <c r="P975" s="480"/>
      <c r="Q975" s="480"/>
    </row>
    <row r="976" spans="3:17">
      <c r="C976" s="685"/>
      <c r="D976" s="685"/>
      <c r="E976" s="480"/>
      <c r="F976" s="480"/>
      <c r="G976" s="480"/>
      <c r="H976" s="480"/>
      <c r="I976" s="480"/>
      <c r="J976" s="480"/>
      <c r="K976" s="480"/>
      <c r="L976" s="480"/>
      <c r="M976" s="480"/>
      <c r="N976" s="480"/>
      <c r="O976" s="480"/>
      <c r="P976" s="480"/>
      <c r="Q976" s="480"/>
    </row>
    <row r="977" spans="3:17">
      <c r="C977" s="685"/>
      <c r="D977" s="685"/>
      <c r="E977" s="480"/>
      <c r="F977" s="480"/>
      <c r="G977" s="480"/>
      <c r="H977" s="480"/>
      <c r="I977" s="480"/>
      <c r="J977" s="480"/>
      <c r="K977" s="480"/>
      <c r="L977" s="480"/>
      <c r="M977" s="480"/>
      <c r="N977" s="480"/>
      <c r="O977" s="480"/>
      <c r="P977" s="480"/>
      <c r="Q977" s="480"/>
    </row>
    <row r="978" spans="3:17">
      <c r="C978" s="685"/>
      <c r="D978" s="685"/>
      <c r="E978" s="480"/>
      <c r="F978" s="480"/>
      <c r="G978" s="480"/>
      <c r="H978" s="480"/>
      <c r="I978" s="480"/>
      <c r="J978" s="480"/>
      <c r="K978" s="480"/>
      <c r="L978" s="480"/>
      <c r="M978" s="480"/>
      <c r="N978" s="480"/>
      <c r="O978" s="480"/>
      <c r="P978" s="480"/>
      <c r="Q978" s="480"/>
    </row>
    <row r="979" spans="3:17">
      <c r="C979" s="685"/>
      <c r="D979" s="685"/>
      <c r="E979" s="480"/>
      <c r="F979" s="480"/>
      <c r="G979" s="480"/>
      <c r="H979" s="480"/>
      <c r="I979" s="480"/>
      <c r="J979" s="480"/>
      <c r="K979" s="480"/>
      <c r="L979" s="480"/>
      <c r="M979" s="480"/>
      <c r="N979" s="480"/>
      <c r="O979" s="480"/>
      <c r="P979" s="480"/>
      <c r="Q979" s="480"/>
    </row>
    <row r="980" spans="3:17">
      <c r="C980" s="685"/>
      <c r="D980" s="685"/>
      <c r="E980" s="480"/>
      <c r="F980" s="480"/>
      <c r="G980" s="480"/>
      <c r="H980" s="480"/>
      <c r="I980" s="480"/>
      <c r="J980" s="480"/>
      <c r="K980" s="480"/>
      <c r="L980" s="480"/>
      <c r="M980" s="480"/>
      <c r="N980" s="480"/>
      <c r="O980" s="480"/>
      <c r="P980" s="480"/>
      <c r="Q980" s="480"/>
    </row>
    <row r="981" spans="3:17">
      <c r="C981" s="685"/>
      <c r="D981" s="685"/>
      <c r="E981" s="480"/>
      <c r="F981" s="480"/>
      <c r="G981" s="480"/>
      <c r="H981" s="480"/>
      <c r="I981" s="480"/>
      <c r="J981" s="480"/>
      <c r="K981" s="480"/>
      <c r="L981" s="480"/>
      <c r="M981" s="480"/>
      <c r="N981" s="480"/>
      <c r="O981" s="480"/>
      <c r="P981" s="480"/>
      <c r="Q981" s="480"/>
    </row>
    <row r="982" spans="3:17">
      <c r="C982" s="685"/>
      <c r="D982" s="685"/>
      <c r="E982" s="480"/>
      <c r="F982" s="480"/>
      <c r="G982" s="480"/>
      <c r="H982" s="480"/>
      <c r="I982" s="480"/>
      <c r="J982" s="480"/>
      <c r="K982" s="480"/>
      <c r="L982" s="480"/>
      <c r="M982" s="480"/>
      <c r="N982" s="480"/>
      <c r="O982" s="480"/>
      <c r="P982" s="480"/>
      <c r="Q982" s="480"/>
    </row>
    <row r="983" spans="3:17">
      <c r="C983" s="685"/>
      <c r="D983" s="685"/>
      <c r="E983" s="480"/>
      <c r="F983" s="480"/>
      <c r="G983" s="480"/>
      <c r="H983" s="480"/>
      <c r="I983" s="480"/>
      <c r="J983" s="480"/>
      <c r="K983" s="480"/>
      <c r="L983" s="480"/>
      <c r="M983" s="480"/>
      <c r="N983" s="480"/>
      <c r="O983" s="480"/>
      <c r="P983" s="480"/>
      <c r="Q983" s="480"/>
    </row>
    <row r="984" spans="3:17">
      <c r="C984" s="685"/>
      <c r="D984" s="685"/>
      <c r="E984" s="480"/>
      <c r="F984" s="480"/>
      <c r="G984" s="480"/>
      <c r="H984" s="480"/>
      <c r="I984" s="480"/>
      <c r="J984" s="480"/>
      <c r="K984" s="480"/>
      <c r="L984" s="480"/>
      <c r="M984" s="480"/>
      <c r="N984" s="480"/>
      <c r="O984" s="480"/>
      <c r="P984" s="480"/>
      <c r="Q984" s="480"/>
    </row>
    <row r="985" spans="3:17">
      <c r="C985" s="685"/>
      <c r="D985" s="685"/>
      <c r="E985" s="480"/>
      <c r="F985" s="480"/>
      <c r="G985" s="480"/>
      <c r="H985" s="480"/>
      <c r="I985" s="480"/>
      <c r="J985" s="480"/>
      <c r="K985" s="480"/>
      <c r="L985" s="480"/>
      <c r="M985" s="480"/>
      <c r="N985" s="480"/>
      <c r="O985" s="480"/>
      <c r="P985" s="480"/>
      <c r="Q985" s="480"/>
    </row>
    <row r="986" spans="3:17">
      <c r="C986" s="685"/>
      <c r="D986" s="685"/>
      <c r="E986" s="480"/>
      <c r="F986" s="480"/>
      <c r="G986" s="480"/>
      <c r="H986" s="480"/>
      <c r="I986" s="480"/>
      <c r="J986" s="480"/>
      <c r="K986" s="480"/>
      <c r="L986" s="480"/>
      <c r="M986" s="480"/>
      <c r="N986" s="480"/>
      <c r="O986" s="480"/>
      <c r="P986" s="480"/>
      <c r="Q986" s="480"/>
    </row>
    <row r="987" spans="3:17">
      <c r="C987" s="685"/>
      <c r="D987" s="685"/>
      <c r="E987" s="480"/>
      <c r="F987" s="480"/>
      <c r="G987" s="480"/>
      <c r="H987" s="480"/>
      <c r="I987" s="480"/>
      <c r="J987" s="480"/>
      <c r="K987" s="480"/>
      <c r="L987" s="480"/>
      <c r="M987" s="480"/>
      <c r="N987" s="480"/>
      <c r="O987" s="480"/>
      <c r="P987" s="480"/>
      <c r="Q987" s="480"/>
    </row>
    <row r="988" spans="3:17">
      <c r="C988" s="685"/>
      <c r="D988" s="685"/>
      <c r="E988" s="480"/>
      <c r="F988" s="480"/>
      <c r="G988" s="480"/>
      <c r="H988" s="480"/>
      <c r="I988" s="480"/>
      <c r="J988" s="480"/>
      <c r="K988" s="480"/>
      <c r="L988" s="480"/>
      <c r="M988" s="480"/>
      <c r="N988" s="480"/>
      <c r="O988" s="480"/>
      <c r="P988" s="480"/>
      <c r="Q988" s="480"/>
    </row>
    <row r="989" spans="3:17">
      <c r="C989" s="685"/>
      <c r="D989" s="685"/>
      <c r="E989" s="480"/>
      <c r="F989" s="480"/>
      <c r="G989" s="480"/>
      <c r="H989" s="480"/>
      <c r="I989" s="480"/>
      <c r="J989" s="480"/>
      <c r="K989" s="480"/>
      <c r="L989" s="480"/>
      <c r="M989" s="480"/>
      <c r="N989" s="480"/>
      <c r="O989" s="480"/>
      <c r="P989" s="480"/>
      <c r="Q989" s="480"/>
    </row>
    <row r="990" spans="3:17">
      <c r="C990" s="685"/>
      <c r="D990" s="685"/>
      <c r="E990" s="480"/>
      <c r="F990" s="480"/>
      <c r="G990" s="480"/>
      <c r="H990" s="480"/>
      <c r="I990" s="480"/>
      <c r="J990" s="480"/>
      <c r="K990" s="480"/>
      <c r="L990" s="480"/>
      <c r="M990" s="480"/>
      <c r="N990" s="480"/>
      <c r="O990" s="480"/>
      <c r="P990" s="480"/>
      <c r="Q990" s="480"/>
    </row>
    <row r="991" spans="3:17">
      <c r="C991" s="685"/>
      <c r="D991" s="685"/>
      <c r="E991" s="480"/>
      <c r="F991" s="480"/>
      <c r="G991" s="480"/>
      <c r="H991" s="480"/>
      <c r="I991" s="480"/>
      <c r="J991" s="480"/>
      <c r="K991" s="480"/>
      <c r="L991" s="480"/>
      <c r="M991" s="480"/>
      <c r="N991" s="480"/>
      <c r="O991" s="480"/>
      <c r="P991" s="480"/>
      <c r="Q991" s="480"/>
    </row>
    <row r="992" spans="3:17">
      <c r="C992" s="685"/>
      <c r="D992" s="685"/>
      <c r="E992" s="480"/>
      <c r="F992" s="480"/>
      <c r="G992" s="480"/>
      <c r="H992" s="480"/>
      <c r="I992" s="480"/>
      <c r="J992" s="480"/>
      <c r="K992" s="480"/>
      <c r="L992" s="480"/>
      <c r="M992" s="480"/>
      <c r="N992" s="480"/>
      <c r="O992" s="480"/>
      <c r="P992" s="480"/>
      <c r="Q992" s="480"/>
    </row>
    <row r="993" spans="3:17">
      <c r="C993" s="685"/>
      <c r="D993" s="685"/>
      <c r="E993" s="480"/>
      <c r="F993" s="480"/>
      <c r="G993" s="480"/>
      <c r="H993" s="480"/>
      <c r="I993" s="480"/>
      <c r="J993" s="480"/>
      <c r="K993" s="480"/>
      <c r="L993" s="480"/>
      <c r="M993" s="480"/>
      <c r="N993" s="480"/>
      <c r="O993" s="480"/>
      <c r="P993" s="480"/>
      <c r="Q993" s="480"/>
    </row>
    <row r="994" spans="3:17">
      <c r="C994" s="685"/>
      <c r="D994" s="685"/>
      <c r="E994" s="480"/>
      <c r="F994" s="480"/>
      <c r="G994" s="480"/>
      <c r="H994" s="480"/>
      <c r="I994" s="480"/>
      <c r="J994" s="480"/>
      <c r="K994" s="480"/>
      <c r="L994" s="480"/>
      <c r="M994" s="480"/>
      <c r="N994" s="480"/>
      <c r="O994" s="480"/>
      <c r="P994" s="480"/>
      <c r="Q994" s="480"/>
    </row>
    <row r="995" spans="3:17">
      <c r="C995" s="685"/>
      <c r="D995" s="685"/>
      <c r="E995" s="480"/>
      <c r="F995" s="480"/>
      <c r="G995" s="480"/>
      <c r="H995" s="480"/>
      <c r="I995" s="480"/>
      <c r="J995" s="480"/>
      <c r="K995" s="480"/>
      <c r="L995" s="480"/>
      <c r="M995" s="480"/>
      <c r="N995" s="480"/>
      <c r="O995" s="480"/>
      <c r="P995" s="480"/>
      <c r="Q995" s="480"/>
    </row>
    <row r="996" spans="3:17">
      <c r="C996" s="685"/>
      <c r="D996" s="685"/>
      <c r="E996" s="480"/>
      <c r="F996" s="480"/>
      <c r="G996" s="480"/>
      <c r="H996" s="480"/>
      <c r="I996" s="480"/>
      <c r="J996" s="480"/>
      <c r="K996" s="480"/>
      <c r="L996" s="480"/>
      <c r="M996" s="480"/>
      <c r="N996" s="480"/>
      <c r="O996" s="480"/>
      <c r="P996" s="480"/>
      <c r="Q996" s="480"/>
    </row>
    <row r="997" spans="3:17">
      <c r="C997" s="685"/>
      <c r="D997" s="685"/>
      <c r="E997" s="480"/>
      <c r="F997" s="480"/>
      <c r="G997" s="480"/>
      <c r="H997" s="480"/>
      <c r="I997" s="480"/>
      <c r="J997" s="480"/>
      <c r="K997" s="480"/>
      <c r="L997" s="480"/>
      <c r="M997" s="480"/>
      <c r="N997" s="480"/>
      <c r="O997" s="480"/>
      <c r="P997" s="480"/>
      <c r="Q997" s="480"/>
    </row>
    <row r="998" spans="3:17">
      <c r="C998" s="685"/>
      <c r="D998" s="685"/>
      <c r="E998" s="480"/>
      <c r="F998" s="480"/>
      <c r="G998" s="480"/>
      <c r="H998" s="480"/>
      <c r="I998" s="480"/>
      <c r="J998" s="480"/>
      <c r="K998" s="480"/>
      <c r="L998" s="480"/>
      <c r="M998" s="480"/>
      <c r="N998" s="480"/>
      <c r="O998" s="480"/>
      <c r="P998" s="480"/>
      <c r="Q998" s="480"/>
    </row>
    <row r="999" spans="3:17">
      <c r="C999" s="685"/>
      <c r="D999" s="685"/>
      <c r="E999" s="480"/>
      <c r="F999" s="480"/>
      <c r="G999" s="480"/>
      <c r="H999" s="480"/>
      <c r="I999" s="480"/>
      <c r="J999" s="480"/>
      <c r="K999" s="480"/>
      <c r="L999" s="480"/>
      <c r="M999" s="480"/>
      <c r="N999" s="480"/>
      <c r="O999" s="480"/>
      <c r="P999" s="480"/>
      <c r="Q999" s="480"/>
    </row>
    <row r="1000" spans="3:17">
      <c r="C1000" s="685"/>
      <c r="D1000" s="685"/>
      <c r="E1000" s="480"/>
      <c r="F1000" s="480"/>
      <c r="G1000" s="480"/>
      <c r="H1000" s="480"/>
      <c r="I1000" s="480"/>
      <c r="J1000" s="480"/>
      <c r="K1000" s="480"/>
      <c r="L1000" s="480"/>
      <c r="M1000" s="480"/>
      <c r="N1000" s="480"/>
      <c r="O1000" s="480"/>
      <c r="P1000" s="480"/>
      <c r="Q1000" s="480"/>
    </row>
    <row r="1001" spans="3:17">
      <c r="C1001" s="685"/>
      <c r="D1001" s="685"/>
      <c r="E1001" s="480"/>
      <c r="F1001" s="480"/>
      <c r="G1001" s="480"/>
      <c r="H1001" s="480"/>
      <c r="I1001" s="480"/>
      <c r="J1001" s="480"/>
      <c r="K1001" s="480"/>
      <c r="L1001" s="480"/>
      <c r="M1001" s="480"/>
      <c r="N1001" s="480"/>
      <c r="O1001" s="480"/>
      <c r="P1001" s="480"/>
      <c r="Q1001" s="480"/>
    </row>
    <row r="1002" spans="3:17">
      <c r="C1002" s="685"/>
      <c r="D1002" s="685"/>
      <c r="E1002" s="480"/>
      <c r="F1002" s="480"/>
      <c r="G1002" s="480"/>
      <c r="H1002" s="480"/>
      <c r="I1002" s="480"/>
      <c r="J1002" s="480"/>
      <c r="K1002" s="480"/>
      <c r="L1002" s="480"/>
      <c r="M1002" s="480"/>
      <c r="N1002" s="480"/>
      <c r="O1002" s="480"/>
      <c r="P1002" s="480"/>
      <c r="Q1002" s="480"/>
    </row>
    <row r="1003" spans="3:17">
      <c r="C1003" s="685"/>
      <c r="D1003" s="685"/>
      <c r="E1003" s="480"/>
      <c r="F1003" s="480"/>
      <c r="G1003" s="480"/>
      <c r="H1003" s="480"/>
      <c r="I1003" s="480"/>
      <c r="J1003" s="480"/>
      <c r="K1003" s="480"/>
      <c r="L1003" s="480"/>
      <c r="M1003" s="480"/>
      <c r="N1003" s="480"/>
      <c r="O1003" s="480"/>
      <c r="P1003" s="480"/>
      <c r="Q1003" s="480"/>
    </row>
    <row r="1004" spans="3:17">
      <c r="C1004" s="685"/>
      <c r="D1004" s="685"/>
      <c r="E1004" s="480"/>
      <c r="F1004" s="480"/>
      <c r="G1004" s="480"/>
      <c r="H1004" s="480"/>
      <c r="I1004" s="480"/>
      <c r="J1004" s="480"/>
      <c r="K1004" s="480"/>
      <c r="L1004" s="480"/>
      <c r="M1004" s="480"/>
      <c r="N1004" s="480"/>
      <c r="O1004" s="480"/>
      <c r="P1004" s="480"/>
      <c r="Q1004" s="480"/>
    </row>
    <row r="1005" spans="3:17">
      <c r="C1005" s="685"/>
      <c r="D1005" s="685"/>
      <c r="E1005" s="480"/>
      <c r="F1005" s="480"/>
      <c r="G1005" s="480"/>
      <c r="H1005" s="480"/>
      <c r="I1005" s="480"/>
      <c r="J1005" s="480"/>
      <c r="K1005" s="480"/>
      <c r="L1005" s="480"/>
      <c r="M1005" s="480"/>
      <c r="N1005" s="480"/>
      <c r="O1005" s="480"/>
      <c r="P1005" s="480"/>
      <c r="Q1005" s="480"/>
    </row>
    <row r="1006" spans="3:17">
      <c r="C1006" s="685"/>
      <c r="D1006" s="685"/>
      <c r="E1006" s="480"/>
      <c r="F1006" s="480"/>
      <c r="G1006" s="480"/>
      <c r="H1006" s="480"/>
      <c r="I1006" s="480"/>
      <c r="J1006" s="480"/>
      <c r="K1006" s="480"/>
      <c r="L1006" s="480"/>
      <c r="M1006" s="480"/>
      <c r="N1006" s="480"/>
      <c r="O1006" s="480"/>
      <c r="P1006" s="480"/>
      <c r="Q1006" s="480"/>
    </row>
    <row r="1007" spans="3:17">
      <c r="C1007" s="685"/>
      <c r="D1007" s="685"/>
      <c r="E1007" s="480"/>
      <c r="F1007" s="480"/>
      <c r="G1007" s="480"/>
      <c r="H1007" s="480"/>
      <c r="I1007" s="480"/>
      <c r="J1007" s="480"/>
      <c r="K1007" s="480"/>
      <c r="L1007" s="480"/>
      <c r="M1007" s="480"/>
      <c r="N1007" s="480"/>
      <c r="O1007" s="480"/>
      <c r="P1007" s="480"/>
      <c r="Q1007" s="480"/>
    </row>
    <row r="1008" spans="3:17">
      <c r="C1008" s="685"/>
      <c r="D1008" s="685"/>
      <c r="E1008" s="480"/>
      <c r="F1008" s="480"/>
      <c r="G1008" s="480"/>
      <c r="H1008" s="480"/>
      <c r="I1008" s="480"/>
      <c r="J1008" s="480"/>
      <c r="K1008" s="480"/>
      <c r="L1008" s="480"/>
      <c r="M1008" s="480"/>
      <c r="N1008" s="480"/>
      <c r="O1008" s="480"/>
      <c r="P1008" s="480"/>
      <c r="Q1008" s="480"/>
    </row>
    <row r="1009" spans="3:17">
      <c r="C1009" s="685"/>
      <c r="D1009" s="685"/>
      <c r="E1009" s="480"/>
      <c r="F1009" s="480"/>
      <c r="G1009" s="480"/>
      <c r="H1009" s="480"/>
      <c r="I1009" s="480"/>
      <c r="J1009" s="480"/>
      <c r="K1009" s="480"/>
      <c r="L1009" s="480"/>
      <c r="M1009" s="480"/>
      <c r="N1009" s="480"/>
      <c r="O1009" s="480"/>
      <c r="P1009" s="480"/>
      <c r="Q1009" s="480"/>
    </row>
    <row r="1010" spans="3:17">
      <c r="C1010" s="685"/>
      <c r="D1010" s="685"/>
      <c r="E1010" s="480"/>
      <c r="F1010" s="480"/>
      <c r="G1010" s="480"/>
      <c r="H1010" s="480"/>
      <c r="I1010" s="480"/>
      <c r="J1010" s="480"/>
      <c r="K1010" s="480"/>
      <c r="L1010" s="480"/>
      <c r="M1010" s="480"/>
      <c r="N1010" s="480"/>
      <c r="O1010" s="480"/>
      <c r="P1010" s="480"/>
      <c r="Q1010" s="480"/>
    </row>
    <row r="1011" spans="3:17">
      <c r="C1011" s="685"/>
      <c r="D1011" s="685"/>
      <c r="E1011" s="480"/>
      <c r="F1011" s="480"/>
      <c r="G1011" s="480"/>
      <c r="H1011" s="480"/>
      <c r="I1011" s="480"/>
      <c r="J1011" s="480"/>
      <c r="K1011" s="480"/>
      <c r="L1011" s="480"/>
      <c r="M1011" s="480"/>
      <c r="N1011" s="480"/>
      <c r="O1011" s="480"/>
      <c r="P1011" s="480"/>
      <c r="Q1011" s="480"/>
    </row>
    <row r="1012" spans="3:17">
      <c r="C1012" s="685"/>
      <c r="D1012" s="685"/>
      <c r="E1012" s="480"/>
      <c r="F1012" s="480"/>
      <c r="G1012" s="480"/>
      <c r="H1012" s="480"/>
      <c r="I1012" s="480"/>
      <c r="J1012" s="480"/>
      <c r="K1012" s="480"/>
      <c r="L1012" s="480"/>
      <c r="M1012" s="480"/>
      <c r="N1012" s="480"/>
      <c r="O1012" s="480"/>
      <c r="P1012" s="480"/>
      <c r="Q1012" s="480"/>
    </row>
    <row r="1013" spans="3:17">
      <c r="C1013" s="685"/>
      <c r="D1013" s="685"/>
      <c r="E1013" s="480"/>
      <c r="F1013" s="480"/>
      <c r="G1013" s="480"/>
      <c r="H1013" s="480"/>
      <c r="I1013" s="480"/>
      <c r="J1013" s="480"/>
      <c r="K1013" s="480"/>
      <c r="L1013" s="480"/>
      <c r="M1013" s="480"/>
      <c r="N1013" s="480"/>
      <c r="O1013" s="480"/>
      <c r="P1013" s="480"/>
      <c r="Q1013" s="480"/>
    </row>
    <row r="1014" spans="3:17">
      <c r="C1014" s="685"/>
      <c r="D1014" s="685"/>
      <c r="E1014" s="480"/>
      <c r="F1014" s="480"/>
      <c r="G1014" s="480"/>
      <c r="H1014" s="480"/>
      <c r="I1014" s="480"/>
      <c r="J1014" s="480"/>
      <c r="K1014" s="480"/>
      <c r="L1014" s="480"/>
      <c r="M1014" s="480"/>
      <c r="N1014" s="480"/>
      <c r="O1014" s="480"/>
      <c r="P1014" s="480"/>
      <c r="Q1014" s="480"/>
    </row>
    <row r="1015" spans="3:17">
      <c r="C1015" s="685"/>
      <c r="D1015" s="685"/>
      <c r="E1015" s="480"/>
      <c r="F1015" s="480"/>
      <c r="G1015" s="480"/>
      <c r="H1015" s="480"/>
      <c r="I1015" s="480"/>
      <c r="J1015" s="480"/>
      <c r="K1015" s="480"/>
      <c r="L1015" s="480"/>
      <c r="M1015" s="480"/>
      <c r="N1015" s="480"/>
      <c r="O1015" s="480"/>
      <c r="P1015" s="480"/>
      <c r="Q1015" s="480"/>
    </row>
    <row r="1016" spans="3:17">
      <c r="C1016" s="685"/>
      <c r="D1016" s="685"/>
      <c r="E1016" s="480"/>
      <c r="F1016" s="480"/>
      <c r="G1016" s="480"/>
      <c r="H1016" s="480"/>
      <c r="I1016" s="480"/>
      <c r="J1016" s="480"/>
      <c r="K1016" s="480"/>
      <c r="L1016" s="480"/>
      <c r="M1016" s="480"/>
      <c r="N1016" s="480"/>
      <c r="O1016" s="480"/>
      <c r="P1016" s="480"/>
      <c r="Q1016" s="480"/>
    </row>
    <row r="1017" spans="3:17">
      <c r="C1017" s="685"/>
      <c r="D1017" s="685"/>
      <c r="E1017" s="480"/>
      <c r="F1017" s="480"/>
      <c r="G1017" s="480"/>
      <c r="H1017" s="480"/>
      <c r="I1017" s="480"/>
      <c r="J1017" s="480"/>
      <c r="K1017" s="480"/>
      <c r="L1017" s="480"/>
      <c r="M1017" s="480"/>
      <c r="N1017" s="480"/>
      <c r="O1017" s="480"/>
      <c r="P1017" s="480"/>
      <c r="Q1017" s="480"/>
    </row>
    <row r="1018" spans="3:17">
      <c r="C1018" s="685"/>
      <c r="D1018" s="685"/>
      <c r="E1018" s="480"/>
      <c r="F1018" s="480"/>
      <c r="G1018" s="480"/>
      <c r="H1018" s="480"/>
      <c r="I1018" s="480"/>
      <c r="J1018" s="480"/>
      <c r="K1018" s="480"/>
      <c r="L1018" s="480"/>
      <c r="M1018" s="480"/>
      <c r="N1018" s="480"/>
      <c r="O1018" s="480"/>
      <c r="P1018" s="480"/>
      <c r="Q1018" s="480"/>
    </row>
    <row r="1019" spans="3:17">
      <c r="C1019" s="685"/>
      <c r="D1019" s="685"/>
      <c r="E1019" s="480"/>
      <c r="F1019" s="480"/>
      <c r="G1019" s="480"/>
      <c r="H1019" s="480"/>
      <c r="I1019" s="480"/>
      <c r="J1019" s="480"/>
      <c r="K1019" s="480"/>
      <c r="L1019" s="480"/>
      <c r="M1019" s="480"/>
      <c r="N1019" s="480"/>
      <c r="O1019" s="480"/>
      <c r="P1019" s="480"/>
      <c r="Q1019" s="480"/>
    </row>
    <row r="1020" spans="3:17">
      <c r="C1020" s="685"/>
      <c r="D1020" s="685"/>
      <c r="E1020" s="480"/>
      <c r="F1020" s="480"/>
      <c r="G1020" s="480"/>
      <c r="H1020" s="480"/>
      <c r="I1020" s="480"/>
      <c r="J1020" s="480"/>
      <c r="K1020" s="480"/>
      <c r="L1020" s="480"/>
      <c r="M1020" s="480"/>
      <c r="N1020" s="480"/>
      <c r="O1020" s="480"/>
      <c r="P1020" s="480"/>
      <c r="Q1020" s="480"/>
    </row>
    <row r="1021" spans="3:17">
      <c r="C1021" s="685"/>
      <c r="D1021" s="685"/>
      <c r="E1021" s="480"/>
      <c r="F1021" s="480"/>
      <c r="G1021" s="480"/>
      <c r="H1021" s="480"/>
      <c r="I1021" s="480"/>
      <c r="J1021" s="480"/>
      <c r="K1021" s="480"/>
      <c r="L1021" s="480"/>
      <c r="M1021" s="480"/>
      <c r="N1021" s="480"/>
      <c r="O1021" s="480"/>
      <c r="P1021" s="480"/>
      <c r="Q1021" s="480"/>
    </row>
    <row r="1022" spans="3:17">
      <c r="C1022" s="685"/>
      <c r="D1022" s="685"/>
      <c r="E1022" s="480"/>
      <c r="F1022" s="480"/>
      <c r="G1022" s="480"/>
      <c r="H1022" s="480"/>
      <c r="I1022" s="480"/>
      <c r="J1022" s="480"/>
      <c r="K1022" s="480"/>
      <c r="L1022" s="480"/>
      <c r="M1022" s="480"/>
      <c r="N1022" s="480"/>
      <c r="O1022" s="480"/>
      <c r="P1022" s="480"/>
      <c r="Q1022" s="480"/>
    </row>
    <row r="1023" spans="3:17">
      <c r="C1023" s="685"/>
      <c r="D1023" s="685"/>
      <c r="E1023" s="480"/>
      <c r="F1023" s="480"/>
      <c r="G1023" s="480"/>
      <c r="H1023" s="480"/>
      <c r="I1023" s="480"/>
      <c r="J1023" s="480"/>
      <c r="K1023" s="480"/>
      <c r="L1023" s="480"/>
      <c r="M1023" s="480"/>
      <c r="N1023" s="480"/>
      <c r="O1023" s="480"/>
      <c r="P1023" s="480"/>
      <c r="Q1023" s="480"/>
    </row>
    <row r="1024" spans="3:17">
      <c r="C1024" s="685"/>
      <c r="D1024" s="685"/>
      <c r="E1024" s="480"/>
      <c r="F1024" s="480"/>
      <c r="G1024" s="480"/>
      <c r="H1024" s="480"/>
      <c r="I1024" s="480"/>
      <c r="J1024" s="480"/>
      <c r="K1024" s="480"/>
      <c r="L1024" s="480"/>
      <c r="M1024" s="480"/>
      <c r="N1024" s="480"/>
      <c r="O1024" s="480"/>
      <c r="P1024" s="480"/>
      <c r="Q1024" s="480"/>
    </row>
    <row r="1025" spans="3:17">
      <c r="C1025" s="685"/>
      <c r="D1025" s="685"/>
      <c r="E1025" s="480"/>
      <c r="F1025" s="480"/>
      <c r="G1025" s="480"/>
      <c r="H1025" s="480"/>
      <c r="I1025" s="480"/>
      <c r="J1025" s="480"/>
      <c r="K1025" s="480"/>
      <c r="L1025" s="480"/>
      <c r="M1025" s="480"/>
      <c r="N1025" s="480"/>
      <c r="O1025" s="480"/>
      <c r="P1025" s="480"/>
      <c r="Q1025" s="480"/>
    </row>
    <row r="1026" spans="3:17">
      <c r="C1026" s="685"/>
      <c r="D1026" s="685"/>
      <c r="E1026" s="480"/>
      <c r="F1026" s="480"/>
      <c r="G1026" s="480"/>
      <c r="H1026" s="480"/>
      <c r="I1026" s="480"/>
      <c r="J1026" s="480"/>
      <c r="K1026" s="480"/>
      <c r="L1026" s="480"/>
      <c r="M1026" s="480"/>
      <c r="N1026" s="480"/>
      <c r="O1026" s="480"/>
      <c r="P1026" s="480"/>
      <c r="Q1026" s="480"/>
    </row>
    <row r="1027" spans="3:17">
      <c r="C1027" s="685"/>
      <c r="D1027" s="685"/>
      <c r="E1027" s="480"/>
      <c r="F1027" s="480"/>
      <c r="G1027" s="480"/>
      <c r="H1027" s="480"/>
      <c r="I1027" s="480"/>
      <c r="J1027" s="480"/>
      <c r="K1027" s="480"/>
      <c r="L1027" s="480"/>
      <c r="M1027" s="480"/>
      <c r="N1027" s="480"/>
      <c r="O1027" s="480"/>
      <c r="P1027" s="480"/>
      <c r="Q1027" s="480"/>
    </row>
    <row r="1028" spans="3:17">
      <c r="C1028" s="685"/>
      <c r="D1028" s="685"/>
      <c r="E1028" s="480"/>
      <c r="F1028" s="480"/>
      <c r="G1028" s="480"/>
      <c r="H1028" s="480"/>
      <c r="I1028" s="480"/>
      <c r="J1028" s="480"/>
      <c r="K1028" s="480"/>
      <c r="L1028" s="480"/>
      <c r="M1028" s="480"/>
      <c r="N1028" s="480"/>
      <c r="O1028" s="480"/>
      <c r="P1028" s="480"/>
      <c r="Q1028" s="480"/>
    </row>
    <row r="1029" spans="3:17">
      <c r="C1029" s="685"/>
      <c r="D1029" s="685"/>
      <c r="E1029" s="480"/>
      <c r="F1029" s="480"/>
      <c r="G1029" s="480"/>
      <c r="H1029" s="480"/>
      <c r="I1029" s="480"/>
      <c r="J1029" s="480"/>
      <c r="K1029" s="480"/>
      <c r="L1029" s="480"/>
      <c r="M1029" s="480"/>
      <c r="N1029" s="480"/>
      <c r="O1029" s="480"/>
      <c r="P1029" s="480"/>
      <c r="Q1029" s="480"/>
    </row>
  </sheetData>
  <phoneticPr fontId="33" type="noConversion"/>
  <printOptions horizontalCentered="1"/>
  <pageMargins left="0.19685039370078741" right="0.19685039370078741" top="1.3779527559055118" bottom="0.51181102362204722" header="0.78740157480314965" footer="0.19685039370078741"/>
  <pageSetup scale="72" fitToHeight="4" orientation="landscape" horizontalDpi="4294967295" r:id="rId1"/>
  <headerFooter alignWithMargins="0">
    <oddHeader>&amp;CMUNICIPIO DE LA VEGA CAUCA
NIT. 891.50.997-6
ESTADO DE FUENTES Y APLICACIONES PROYECTADO
EN MILES DE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48</vt:i4>
      </vt:variant>
    </vt:vector>
  </HeadingPairs>
  <TitlesOfParts>
    <vt:vector size="65" baseType="lpstr">
      <vt:lpstr>informe2011</vt:lpstr>
      <vt:lpstr>Balance Financiero</vt:lpstr>
      <vt:lpstr>Ingresos Proyecciones</vt:lpstr>
      <vt:lpstr>Gastos Proyecciones</vt:lpstr>
      <vt:lpstr>Ley 617</vt:lpstr>
      <vt:lpstr>Plan Plurianual</vt:lpstr>
      <vt:lpstr>Capacidad de Pago</vt:lpstr>
      <vt:lpstr>Pasivo a Cancelar y Deuda</vt:lpstr>
      <vt:lpstr>Fuentes y Usos Proyecciones</vt:lpstr>
      <vt:lpstr>Fuentes y Usos Seguimiento</vt:lpstr>
      <vt:lpstr>Cuadros para Informe Municipios</vt:lpstr>
      <vt:lpstr>Variación Cuentas por Pagar</vt:lpstr>
      <vt:lpstr>Resumen Indicadores</vt:lpstr>
      <vt:lpstr>INGRESOS 2005</vt:lpstr>
      <vt:lpstr>Ingresos</vt:lpstr>
      <vt:lpstr>Gastos</vt:lpstr>
      <vt:lpstr>Datos para gráficos</vt:lpstr>
      <vt:lpstr>_CumplimientoLey617</vt:lpstr>
      <vt:lpstr>_Ley617</vt:lpstr>
      <vt:lpstr>_Ley617Gastos</vt:lpstr>
      <vt:lpstr>AcreenciasIncorporadas</vt:lpstr>
      <vt:lpstr>AcreenciasNoIncorporadas</vt:lpstr>
      <vt:lpstr>'Balance Financiero'!Área_de_impresión</vt:lpstr>
      <vt:lpstr>'Capacidad de Pago'!Área_de_impresión</vt:lpstr>
      <vt:lpstr>'Cuadros para Informe Municipios'!Área_de_impresión</vt:lpstr>
      <vt:lpstr>'Fuentes y Usos Proyecciones'!Área_de_impresión</vt:lpstr>
      <vt:lpstr>'Fuentes y Usos Seguimiento'!Área_de_impresión</vt:lpstr>
      <vt:lpstr>Gastos!Área_de_impresión</vt:lpstr>
      <vt:lpstr>'Gastos Proyecciones'!Área_de_impresión</vt:lpstr>
      <vt:lpstr>informe2011!Área_de_impresión</vt:lpstr>
      <vt:lpstr>Ingresos!Área_de_impresión</vt:lpstr>
      <vt:lpstr>'INGRESOS 2005'!Área_de_impresión</vt:lpstr>
      <vt:lpstr>'Ingresos Proyecciones'!Área_de_impresión</vt:lpstr>
      <vt:lpstr>'Ley 617'!Área_de_impresión</vt:lpstr>
      <vt:lpstr>'Plan Plurianual'!Área_de_impresión</vt:lpstr>
      <vt:lpstr>'Resumen Indicadores'!Área_de_impresión</vt:lpstr>
      <vt:lpstr>'Variación Cuentas por Pagar'!Área_de_impresión</vt:lpstr>
      <vt:lpstr>BalanceFinanciero</vt:lpstr>
      <vt:lpstr>CapacidadDeEndeudamiento</vt:lpstr>
      <vt:lpstr>CapacidadDePago</vt:lpstr>
      <vt:lpstr>'INGRESOS 2005'!Encabezado</vt:lpstr>
      <vt:lpstr>Encabezado</vt:lpstr>
      <vt:lpstr>Gastos</vt:lpstr>
      <vt:lpstr>GastosDeFuncionamiento</vt:lpstr>
      <vt:lpstr>GastosProyecciones</vt:lpstr>
      <vt:lpstr>'INGRESOS 2005'!Ingresos</vt:lpstr>
      <vt:lpstr>Ingresos</vt:lpstr>
      <vt:lpstr>IngresosProyecciones</vt:lpstr>
      <vt:lpstr>PasivoACancelarYDeuda</vt:lpstr>
      <vt:lpstr>ProyeccionesFuentesYUsos</vt:lpstr>
      <vt:lpstr>SegumientoFuentesYUsos</vt:lpstr>
      <vt:lpstr>'Balance Financiero'!Títulos_a_imprimir</vt:lpstr>
      <vt:lpstr>'Capacidad de Pago'!Títulos_a_imprimir</vt:lpstr>
      <vt:lpstr>'Fuentes y Usos Proyecciones'!Títulos_a_imprimir</vt:lpstr>
      <vt:lpstr>'Fuentes y Usos Seguimiento'!Títulos_a_imprimir</vt:lpstr>
      <vt:lpstr>Gastos!Títulos_a_imprimir</vt:lpstr>
      <vt:lpstr>'Gastos Proyecciones'!Títulos_a_imprimir</vt:lpstr>
      <vt:lpstr>informe2011!Títulos_a_imprimir</vt:lpstr>
      <vt:lpstr>Ingresos!Títulos_a_imprimir</vt:lpstr>
      <vt:lpstr>'INGRESOS 2005'!Títulos_a_imprimir</vt:lpstr>
      <vt:lpstr>'Ingresos Proyecciones'!Títulos_a_imprimir</vt:lpstr>
      <vt:lpstr>'Ley 617'!Títulos_a_imprimir</vt:lpstr>
      <vt:lpstr>TransferenciasAlConcejo</vt:lpstr>
      <vt:lpstr>TransferenciasAPersoneria</vt:lpstr>
      <vt:lpstr>TransferenciasContraloria</vt:lpstr>
    </vt:vector>
  </TitlesOfParts>
  <Company>Contraloría General de la República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A.L.V.C</dc:creator>
  <cp:lastModifiedBy>rubiurre</cp:lastModifiedBy>
  <cp:lastPrinted>2011-12-14T18:20:59Z</cp:lastPrinted>
  <dcterms:created xsi:type="dcterms:W3CDTF">2002-11-12T19:10:34Z</dcterms:created>
  <dcterms:modified xsi:type="dcterms:W3CDTF">2012-09-06T16:30:58Z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479602859</vt:i4>
  </property>
  <property fmtid="{D5CDD505-2E9C-101B-9397-08002B2CF9AE}" pid="3" name="_EmailSubject">
    <vt:lpwstr>Template</vt:lpwstr>
  </property>
  <property fmtid="{D5CDD505-2E9C-101B-9397-08002B2CF9AE}" pid="4" name="_AuthorEmail">
    <vt:lpwstr>jepena@minhacienda.gov.co</vt:lpwstr>
  </property>
  <property fmtid="{D5CDD505-2E9C-101B-9397-08002B2CF9AE}" pid="5" name="_AuthorEmailDisplayName">
    <vt:lpwstr>Jesus Ernesto Pena Samudio</vt:lpwstr>
  </property>
  <property fmtid="{D5CDD505-2E9C-101B-9397-08002B2CF9AE}" pid="6" name="_PreviousAdHocReviewCycleID">
    <vt:i4>965187029</vt:i4>
  </property>
  <property fmtid="{D5CDD505-2E9C-101B-9397-08002B2CF9AE}" pid="7" name="_ReviewingToolsShownOnce">
    <vt:lpwstr/>
  </property>
</Properties>
</file>