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40" windowWidth="11295" windowHeight="3180" tabRatio="810" activeTab="0"/>
  </bookViews>
  <sheets>
    <sheet name="Saneamiento básico" sheetId="1" r:id="rId1"/>
    <sheet name="Otros servicios" sheetId="2" r:id="rId2"/>
    <sheet name="Vías y transporte" sheetId="3" r:id="rId3"/>
    <sheet name="Medio ambiente" sheetId="4" r:id="rId4"/>
    <sheet name="Agropecuario " sheetId="5" r:id="rId5"/>
    <sheet name="Equipamento municipal" sheetId="6" r:id="rId6"/>
    <sheet name="Cultura" sheetId="7" r:id="rId7"/>
    <sheet name="Turismo" sheetId="8" r:id="rId8"/>
  </sheets>
  <externalReferences>
    <externalReference r:id="rId11"/>
    <externalReference r:id="rId12"/>
    <externalReference r:id="rId13"/>
    <externalReference r:id="rId14"/>
  </externalReferences>
  <definedNames>
    <definedName name="_xlnm.Print_Area" localSheetId="5">'Equipamento municipal'!$A$1:$W$22</definedName>
    <definedName name="BONIFICACION.MAXIMA">#REF!</definedName>
    <definedName name="CONTROL.DE.CALIDAD">#REF!</definedName>
    <definedName name="EFECTIVIDAD_VENTAS" localSheetId="2">'[3]DATOS DE BASE'!#REF!</definedName>
    <definedName name="EFECTIVIDAD_VENTAS">'[3]DATOS DE BASE'!#REF!</definedName>
    <definedName name="EGRESOS_ACUMULADO">#REF!</definedName>
    <definedName name="FACTOR" localSheetId="2">'[4]DATOS DE BASE'!#REF!</definedName>
    <definedName name="FACTOR">'[4]DATOS DE BASE'!#REF!</definedName>
    <definedName name="FACTOR_DE_SALIDA_PRESUPUESTO" localSheetId="2">'[3]DATOS DE BASE'!#REF!</definedName>
    <definedName name="FACTOR_DE_SALIDA_PRESUPUESTO">'[3]DATOS DE BASE'!#REF!</definedName>
    <definedName name="FACTOR_DE_SALIDA_REAL" localSheetId="2">'[3]DATOS DE BASE'!#REF!</definedName>
    <definedName name="FACTOR_DE_SALIDA_REAL">'[3]DATOS DE BASE'!#REF!</definedName>
    <definedName name="FACTOR_DE_SALIDA_REAL_ACUMULADO" localSheetId="2">'[3]DATOS DE BASE'!#REF!</definedName>
    <definedName name="FACTOR_DE_SALIDA_REAL_ACUMULADO">'[3]DATOS DE BASE'!#REF!</definedName>
    <definedName name="FACTURACION">#REF!</definedName>
    <definedName name="FLUJO" localSheetId="2">'[4]DATOS DE BASE'!#REF!</definedName>
    <definedName name="FLUJO">'[4]DATOS DE BASE'!#REF!</definedName>
    <definedName name="FLUJO_DE_CAJA">#REF!</definedName>
    <definedName name="FLUJO_DE_CAJA_PRESUPUESTO" localSheetId="2">'[3]DATOS DE BASE'!#REF!</definedName>
    <definedName name="FLUJO_DE_CAJA_PRESUPUESTO">'[3]DATOS DE BASE'!#REF!</definedName>
    <definedName name="FLUJO_DE_CAJA_PRESUPUESTO_ACUMULADO" localSheetId="2">'[3]DATOS DE BASE'!#REF!</definedName>
    <definedName name="FLUJO_DE_CAJA_PRESUPUESTO_ACUMULADO">'[3]DATOS DE BASE'!#REF!</definedName>
    <definedName name="FLUJO_DE_CAJA_REAL" localSheetId="2">'[3]DATOS DE BASE'!#REF!</definedName>
    <definedName name="FLUJO_DE_CAJA_REAL">'[3]DATOS DE BASE'!#REF!</definedName>
    <definedName name="FLUJO_DE_CAJA_REAL_ACUMULADO" localSheetId="2">'[3]DATOS DE BASE'!#REF!</definedName>
    <definedName name="FLUJO_DE_CAJA_REAL_ACUMULADO">'[3]DATOS DE BASE'!#REF!</definedName>
    <definedName name="GASTOS">#REF!</definedName>
    <definedName name="GRAFICOVENTAS">"Gráfico 1"</definedName>
    <definedName name="MENSUAL_PRESUPUESTADO_ACUMULADO_DEL_FAS_VS_AL_PRESUPUESTADO_TOTAL_ANUAL" localSheetId="2">'[3]DATOS DE BASE'!#REF!</definedName>
    <definedName name="MENSUAL_PRESUPUESTADO_ACUMULADO_DEL_FAS_VS_AL_PRESUPUESTADO_TOTAL_ANUAL">'[3]DATOS DE BASE'!#REF!</definedName>
    <definedName name="MENSUAL_PRESUPUESTADO_DEL_FAS_VS_AL_PRESUPUESTADO_TOTAL_ANUAL" localSheetId="2">'[3]DATOS DE BASE'!#REF!</definedName>
    <definedName name="MENSUAL_PRESUPUESTADO_DEL_FAS_VS_AL_PRESUPUESTADO_TOTAL_ANUAL">'[3]DATOS DE BASE'!#REF!</definedName>
    <definedName name="PRODUCT__VENTAS" localSheetId="2">'[3]DATOS DE BASE'!#REF!</definedName>
    <definedName name="PRODUCT__VENTAS">'[3]DATOS DE BASE'!#REF!</definedName>
    <definedName name="RECAUDO">#REF!</definedName>
    <definedName name="TENDENCIA_FUTURA_PROYECTADO_A_DIC_96">#REF!</definedName>
    <definedName name="TOTAL">#N/A</definedName>
    <definedName name="TOTAL.HORAS.CONSULT.INTERNOS" localSheetId="2">'[1]PRES. INGRESOS 1997'!#REF!</definedName>
    <definedName name="TOTAL.HORAS.CONSULT.INTERNOS">'[1]PRES. INGRESOS 1997'!#REF!</definedName>
    <definedName name="VALOR.LIMITE.SUPERIOR.DE.FAS">#REF!</definedName>
    <definedName name="VENTAS">#REF!</definedName>
    <definedName name="VENTASEFECT" localSheetId="2">'[4]DATOS DE BASE'!#REF!</definedName>
    <definedName name="VENTASEFECT">'[4]DATOS DE BASE'!#REF!</definedName>
    <definedName name="VISITAS_A_CLIENTES_VENTAS" localSheetId="2">'[3]DATOS DE BASE'!#REF!</definedName>
    <definedName name="VISITAS_A_CLIENTES_VENTAS">'[3]DATOS DE BASE'!#REF!</definedName>
  </definedNames>
  <calcPr fullCalcOnLoad="1"/>
</workbook>
</file>

<file path=xl/sharedStrings.xml><?xml version="1.0" encoding="utf-8"?>
<sst xmlns="http://schemas.openxmlformats.org/spreadsheetml/2006/main" count="475" uniqueCount="265">
  <si>
    <t>PROGRAMA</t>
  </si>
  <si>
    <t>SUBPROGRAMA</t>
  </si>
  <si>
    <t>META</t>
  </si>
  <si>
    <t>INDICADOR</t>
  </si>
  <si>
    <t>NOMBRE</t>
  </si>
  <si>
    <t>INVERSION 2012</t>
  </si>
  <si>
    <t>INVERSION 2013</t>
  </si>
  <si>
    <t>INVERSION 2014</t>
  </si>
  <si>
    <t>INVERSION 2015</t>
  </si>
  <si>
    <t>OBJETIVO GENERAL: Mejorar la infraestructura vial y  el servicio de la oficina de tránsito y transporte.</t>
  </si>
  <si>
    <t>OBJETIVO GENERAL: Mejorar la calidad y cobertura en la prestación de servicios públicos domiciliarios.</t>
  </si>
  <si>
    <t>SECTOR: MEDIO AMBIENTE, DESARROLLO AGROPECUARIO, PREVENCION Y ATENCION DESASTRES.</t>
  </si>
  <si>
    <t xml:space="preserve">Construcción de cuartos de moldeo. </t>
  </si>
  <si>
    <t>Repoblamiento de plantulas de caña por área</t>
  </si>
  <si>
    <t>Mulitplicación en vivero de plántulas de cacao.</t>
  </si>
  <si>
    <t>Capacitación sobre manejo integrado de plagas  en el cultivo de aguacate.</t>
  </si>
  <si>
    <t>CONVENIO ICA.</t>
  </si>
  <si>
    <t>Contratación de un médico veterinario.</t>
  </si>
  <si>
    <t>Médico veterinario.</t>
  </si>
  <si>
    <t xml:space="preserve">MANEJO INTEGRADO DEL CARACOL AFRICANO. </t>
  </si>
  <si>
    <t>Brigadas de control del caracol.</t>
  </si>
  <si>
    <t>Establecimiento de huertas urbanas.</t>
  </si>
  <si>
    <t xml:space="preserve">MANEJO INTEGRADO DEL BOSQUE MUNICIPAL. </t>
  </si>
  <si>
    <t xml:space="preserve">Control y vigilancia  en la reserva forestal. </t>
  </si>
  <si>
    <t xml:space="preserve">Campañas de sensibilizacion ambiental en la reserva forestal. </t>
  </si>
  <si>
    <t xml:space="preserve">hectáreas reforestadas. </t>
  </si>
  <si>
    <t xml:space="preserve">CLASIFICACION INTEGRADA DE BASURAS. </t>
  </si>
  <si>
    <t>Separación en la fuente de basuras.</t>
  </si>
  <si>
    <t>familias capacitadas y efectuando  clasificación de basuras .</t>
  </si>
  <si>
    <t xml:space="preserve">PLAN DE SILVICULTURA URBANA. </t>
  </si>
  <si>
    <t>Siembra y mantenimiento  de  árboles.</t>
  </si>
  <si>
    <t>Arboles sembrados y con buen mantenimiento.</t>
  </si>
  <si>
    <t xml:space="preserve">SISTEMA DE GESTION AMBIENTAL MUNICIPAL. </t>
  </si>
  <si>
    <t xml:space="preserve">Hectáreas reforestadas. </t>
  </si>
  <si>
    <t>Adquisición de espacios y áreas de protección de cuencas y micro cuencas que surten los acueductos urbanos y rurales.</t>
  </si>
  <si>
    <t>Predios adquiridos.</t>
  </si>
  <si>
    <t>Promoción y control de la gestión integral de residuos o desechos peligrosos de uso agropecuario.</t>
  </si>
  <si>
    <t>Capcaitaciones.</t>
  </si>
  <si>
    <t>% 
PARTICIPACION</t>
  </si>
  <si>
    <t>TOTAL DE LA INVERSION</t>
  </si>
  <si>
    <t>LINEA
 BASE</t>
  </si>
  <si>
    <t>RECURSOS 
PROPIOS</t>
  </si>
  <si>
    <t>SGP</t>
  </si>
  <si>
    <t>SECTOR: VIAS Y TRANSPORTE.</t>
  </si>
  <si>
    <t>SECTOR:  EQUIPAMIENTO MUNICIPAL.</t>
  </si>
  <si>
    <t>TOTAL 
INVERSION</t>
  </si>
  <si>
    <t>TOTAL
 INVERSION</t>
  </si>
  <si>
    <t>Hectáreas sembradas.</t>
  </si>
  <si>
    <t>Hectáreas mejoradas.</t>
  </si>
  <si>
    <r>
      <t>OBJETIVOS ESPECIFICOS:
-</t>
    </r>
    <r>
      <rPr>
        <sz val="11"/>
        <rFont val="Calibri"/>
        <family val="2"/>
      </rPr>
      <t xml:space="preserve"> Incrementar la competitividad de la producción agropecuaria. 
- Reducir la pobreza rural.</t>
    </r>
  </si>
  <si>
    <t>10 hectáreas de caña repobladas con variedades de alto rendimiento, beneficiando a 20 familias campesinas.</t>
  </si>
  <si>
    <t xml:space="preserve">Mantenimiento del jardin clonal de cacao, heliconias y control de malezas en general. </t>
  </si>
  <si>
    <t xml:space="preserve">30000 yemas vegetativas de cacao. </t>
  </si>
  <si>
    <t>12 campañas.</t>
  </si>
  <si>
    <t>100 familias orgamizadas, capacitadas y produciendo sus hortalizas.</t>
  </si>
  <si>
    <t>PROMOCIÓN DE MECANISMOS DE ASOCIACIONES Y ALIANZAS DE PEQUEÑOS Y MEDIANOS PRODUCTORES.</t>
  </si>
  <si>
    <t>Fortalecer asocianes de pequeños y medianos productores agropecuarios.</t>
  </si>
  <si>
    <t>200 campesinos capacitados.</t>
  </si>
  <si>
    <t>Manejo integrado del cultivo de la caña panelera (plagas, enfermedades, correctores de ácidez, análisis de suelos, entre otros).</t>
  </si>
  <si>
    <t>40 hornillas paneleras mejoradas, beneficiando a 200 familias campesinas.</t>
  </si>
  <si>
    <t>14 hectáreas de caña mejoradas  integralmente, beneficiando 20 familias campesinas.</t>
  </si>
  <si>
    <t xml:space="preserve">OBJETIVO GENERAL: Promover el  desarrollo sostenible de la producción agropecuaria.
</t>
  </si>
  <si>
    <t xml:space="preserve">OBJETIVO GENERAL: Promover un modelo territorial sostenible, mejorar el aprovechamiento y manejo adecuado de los recursos naturales.
</t>
  </si>
  <si>
    <t xml:space="preserve">Reforestación de áreas despobladas en el bosque municipal y mantenimiento (2). </t>
  </si>
  <si>
    <t>80 familias orgamizadas,
capacitadas.</t>
  </si>
  <si>
    <t>2 predios.</t>
  </si>
  <si>
    <t>8 hectáreas.</t>
  </si>
  <si>
    <t xml:space="preserve">8  hectáreas de bosque. </t>
  </si>
  <si>
    <t>12 capacitaciones</t>
  </si>
  <si>
    <t>1500 árboles sembrados y con mantenimiento.</t>
  </si>
  <si>
    <t>TOTAL INVERSION</t>
  </si>
  <si>
    <t>LINEA BASE</t>
  </si>
  <si>
    <t>Expresiones artísitcas</t>
  </si>
  <si>
    <t xml:space="preserve">Escuela de artes. </t>
  </si>
  <si>
    <t xml:space="preserve">18 artistas beneficiados con incentivos. </t>
  </si>
  <si>
    <t>Incentivos.</t>
  </si>
  <si>
    <t xml:space="preserve">Espacios de participacion </t>
  </si>
  <si>
    <t xml:space="preserve">Cobertura de la biblioteca. </t>
  </si>
  <si>
    <t xml:space="preserve">Fortalecer nuestra memoria. </t>
  </si>
  <si>
    <t>Estatutos de renta.</t>
  </si>
  <si>
    <t>Fortalecimiento del sector.</t>
  </si>
  <si>
    <t>Fomento.</t>
  </si>
  <si>
    <t>50 artesanos beneficiados con fomento a las artesanias culturales.</t>
  </si>
  <si>
    <t xml:space="preserve">Construcción  alcantarillado. </t>
  </si>
  <si>
    <t>Mantenimiento  planta de tratamiento de aguas residuales.</t>
  </si>
  <si>
    <t>Construcción de 2000 metros lineales para los centros poblados.</t>
  </si>
  <si>
    <t>Construcción de 1000 metros lineales para el área urbana.</t>
  </si>
  <si>
    <t xml:space="preserve">
Construcción de 60 pozos sépticos.</t>
  </si>
  <si>
    <r>
      <t xml:space="preserve">
Construcción de 2500 metros lineales para el área urbana.</t>
    </r>
  </si>
  <si>
    <t>Construcción hornillas.</t>
  </si>
  <si>
    <t xml:space="preserve">Plántulas multiplicadas. </t>
  </si>
  <si>
    <t>Campesinos capacitados.</t>
  </si>
  <si>
    <t>Yemas vegetativas.</t>
  </si>
  <si>
    <t>Campañas.</t>
  </si>
  <si>
    <t>Familias organizadas</t>
  </si>
  <si>
    <t>Asociaciones.</t>
  </si>
  <si>
    <t>16 asociones fortalecidas.</t>
  </si>
  <si>
    <t>Diseños y estudios.</t>
  </si>
  <si>
    <t>Acueductos construidos.</t>
  </si>
  <si>
    <t>3 acueductos rurales construidos.</t>
  </si>
  <si>
    <t>Ampliación y mantenimiento.</t>
  </si>
  <si>
    <t>Plan departamental de aguas.</t>
  </si>
  <si>
    <t>7704 predios de estrato uno y 12584 pedios de estrato dos.</t>
  </si>
  <si>
    <t xml:space="preserve">Construcción de la primera etapa del Plan Maestro de Alcantarillado urbano. </t>
  </si>
  <si>
    <t>Estudio y diseño del Plan Maestro de Alcantarillado urbano articulado con la proyección  de crecimiento y expansión urbana, los planes de expansión de las ESP.</t>
  </si>
  <si>
    <t>MEJORAMIENTO DE LA INFRAESTRUCTURA DE LOS SERVICIOS PÚBLICOS DOMICILIARIOS DE ACUEDUCTO, ALCANTARILLADO Y ASEO.</t>
  </si>
  <si>
    <t>Subsidios.</t>
  </si>
  <si>
    <t>Estudios y diseño.</t>
  </si>
  <si>
    <t xml:space="preserve">OBJETIVOS ESPECIFICOS:
- Construir y hacer mantenimiento de redes de alcantarillado aguas residuales en el área rural y urbana.
- Construir y hacer mantenimiento de redes de alcantarillado aguas lluvias en el área rural y urbana.
- Construir pozos sépticos.
- Construir sistemas de acueducto rural.
- Otorgar subsidios para agua potable y saneamiento básico.
- Hacer mantenimiento anual a la planta de tratamiento de aguas residuales.
- Hacer estudio y diseño del Plan Maestro de Alcantarillado urbano. </t>
  </si>
  <si>
    <t>Metros cuadrados pavimentados.</t>
  </si>
  <si>
    <t>Mantenimiento vias rurales</t>
  </si>
  <si>
    <t>Construcción de vias urbanas por gestión compartidad.</t>
  </si>
  <si>
    <t>Construcción de vias urbanas por sistemas de valorización.</t>
  </si>
  <si>
    <t>PROGRAMA PERMANENTE DE MANTENIMIENTO DE VÍAS URBANAS Y RURALES.  REALIZACIÓN DE GESTIÓN ENTES DEPARTAMENTALES Y NACIONALES.</t>
  </si>
  <si>
    <t>TERMINAL DE TRANSPORTES INTERMODAL: ESTRUCTURACIÓN EMPRESARIAL.</t>
  </si>
  <si>
    <t>Terminal de transporte.</t>
  </si>
  <si>
    <t xml:space="preserve">Nro. Sectores señalizados. </t>
  </si>
  <si>
    <t>Nro. de campañas de sensibilización.</t>
  </si>
  <si>
    <t>Mejoramiento, capacitación y construcción de sistemas de seguridad vial municipal.</t>
  </si>
  <si>
    <r>
      <t xml:space="preserve">OBJETIVOS ESPECIFICOS:
- Mejorar la vias rurales y urbanas.
- Fortalecer la calidad del funcionamiento.
- Capacitar a la comunidad.
- Fortalecer la seguridad vial .
- Mejorar la movilidad.
</t>
    </r>
    <r>
      <rPr>
        <sz val="11"/>
        <rFont val="Calibri"/>
        <family val="2"/>
      </rPr>
      <t>- Mejorar la accesibilidad del  transporte. 
- Facilitar el uso de infraestructura para el transporte.
- Mejorar la seguridad vial.</t>
    </r>
  </si>
  <si>
    <t>Unidades de policia de tránsito.</t>
  </si>
  <si>
    <t xml:space="preserve">
Zona azul.</t>
  </si>
  <si>
    <t>PLAN DE DESARROLLO MUNICIPAL "SAN SEBASTIAN DE MARIQUITA - POR UN GOBIERNO DE RESULTADOS"
PLAN INDICATIVO Y OPERATIVO 2012 - 2015</t>
  </si>
  <si>
    <t>Mantenimiento.</t>
  </si>
  <si>
    <t xml:space="preserve">Mantenimiento a 15 predios. </t>
  </si>
  <si>
    <t>Construcción de 2 sedes administrativas.</t>
  </si>
  <si>
    <t>Construcción</t>
  </si>
  <si>
    <t>Mantenimiento y construcción de 2100 metros lineales.</t>
  </si>
  <si>
    <t>Mantenimiento y construcción</t>
  </si>
  <si>
    <t>Construcción de la casa de la justicia.</t>
  </si>
  <si>
    <t>Reubicar.</t>
  </si>
  <si>
    <t>Preinversión en diseños y estudios de infraestructura municipal,</t>
  </si>
  <si>
    <t>DISTRITO DE RIEGO CANAL RADA</t>
  </si>
  <si>
    <t>Operación, administración y funcionamiento</t>
  </si>
  <si>
    <t>Ampliación, reabilitación y construcción.</t>
  </si>
  <si>
    <t>Ampliar a 250 hectáreas.</t>
  </si>
  <si>
    <t>150 familias beneficiadas.</t>
  </si>
  <si>
    <t>Cobertura.</t>
  </si>
  <si>
    <t>600  personas capacitadas en atención al turista.</t>
  </si>
  <si>
    <t>Capitación.</t>
  </si>
  <si>
    <t>Instalación de 4 letreros y/o mapas en sitios estratégicos que faciliten la llegada y ubicación a los sitios turísticos y culturales.</t>
  </si>
  <si>
    <t>Señalización.</t>
  </si>
  <si>
    <t>10000 pegables de material publicitario.</t>
  </si>
  <si>
    <t xml:space="preserve">Participar en  7 eventos regionales y nacionales de promoción turística. </t>
  </si>
  <si>
    <t>Eventos.</t>
  </si>
  <si>
    <t>OBJETIVO GENERAL: Renovar los espacios y las expresiones  culturales  para el fortalecimiento de la identidad  cultural del municipio.</t>
  </si>
  <si>
    <t>SECTOR: CULTURA.</t>
  </si>
  <si>
    <t>OBJETIVO GENERAL: Fortalecer el sector turístico como eje de desarrollo económico.</t>
  </si>
  <si>
    <t>SECTOR: CULTURA Y TURISMO.</t>
  </si>
  <si>
    <t>Diseños y estudio.</t>
  </si>
  <si>
    <t>Pegables publicidad.</t>
  </si>
  <si>
    <t>Cobertura del servicio a nivel urbano.</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</si>
  <si>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</si>
  <si>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 xml:space="preserve">OBJETIVO GENERAL: Ampliar, mejorar y construir la infraestructura física de las dependencias administrativas y bienes de uso público de propiedad del municipio. </t>
  </si>
  <si>
    <t>Centro de acopio - plaza  para minoristas y mercado campesino.</t>
  </si>
  <si>
    <t>Reactivación y puesta en marcha de planta de beneficio animal.</t>
  </si>
  <si>
    <t>Reforestación en nacederos de acueductos veredales o áreas de influencia.</t>
  </si>
  <si>
    <t>Remodelación y mejoramiento del parque Mutis.</t>
  </si>
  <si>
    <t>CONSTRUIR Y CONSERVAR EL EQUIPAMENTO MUNICIPAL.</t>
  </si>
  <si>
    <t>Construcción  pozos</t>
  </si>
  <si>
    <t>Metros cuadrados repavimentados.</t>
  </si>
  <si>
    <t>Control y vigiliancia.</t>
  </si>
  <si>
    <t xml:space="preserve">Jornadas de capacitacion. </t>
  </si>
  <si>
    <t>120 familias orgamizadas,
 capacitadas.</t>
  </si>
  <si>
    <t xml:space="preserve">520 hectáreas de bosque. </t>
  </si>
  <si>
    <r>
      <t xml:space="preserve">OBJETIVOS ESPECIFICOS:
- Fomentar espacios de expresión para el desarrollo de la creatividad y la innovación cultural  (danzas, música, artes pláticas, artes escénicas, artes visuales, gastronomía, literatura).
- Fortalecer  la identidad y la memoria colectiva. (folclor, tradiciones).
- Favorecer la construcción  del tejido social.
- Contribuir al desarrollo integral de los niños de 0 a 6 años promoviendo el ejercicio de los derechos culturales, a través de los lenguajes expresivos y estéticos.
</t>
    </r>
    <r>
      <rPr>
        <sz val="11"/>
        <color indexed="10"/>
        <rFont val="Calibri"/>
        <family val="2"/>
      </rPr>
      <t xml:space="preserve">- </t>
    </r>
    <r>
      <rPr>
        <sz val="11"/>
        <rFont val="Calibri"/>
        <family val="2"/>
      </rPr>
      <t xml:space="preserve">Fortalecer los eventos culturales existentes y nuevos (bandas marciales y papayeras).    </t>
    </r>
  </si>
  <si>
    <t>OBJETIVOS ESPECIFICOS: 
- Mejorar la atención al turista.  
- Mejorar la calidad de los servicios y destinos turísticos y promover la formalización de los todos actores que intervienen en el sector.
- Optimizar sitios turísticos por medio de la señalización. 
- Integrar el municipio con la región a través de la promoción y difusión.</t>
  </si>
  <si>
    <t>Señalización para fácil ubicación de los sitios turisticos.</t>
  </si>
  <si>
    <t xml:space="preserve">RENOVACIÓN CULTURAL. </t>
  </si>
  <si>
    <t>PARTICIPACIÓN DE CONVOCATORIAS  PARA DIFERENTES PROYECTOS AGROPECUARIOS.</t>
  </si>
  <si>
    <t xml:space="preserve">PRODUCCIÓN URBANA DE HORTALIZAS. </t>
  </si>
  <si>
    <t xml:space="preserve">MONTAJE, DOTACIÓN Y MATENIMIENTO DE LA GRANJA MUNICIPAL. </t>
  </si>
  <si>
    <t>ACTUALIZACIÓN TECNOLÓGICA DE FRUTALES (AGUACATE, GUANABANA, CITRICOS).</t>
  </si>
  <si>
    <t xml:space="preserve">RENOVACIÓN DE AREAS DE CACAO TRADICIONAL, POR CLONES DE ALTO RENDIMIENTO. </t>
  </si>
  <si>
    <t xml:space="preserve">MEJORAMIENTO DE LA PRODUCCIÓN PANELERA ACORDE A LA NORMATIVIDAD. </t>
  </si>
  <si>
    <t>SECTOR: MEDIO AMBIENTE, DESARROLLO AGROPECUARIO, PREVENCIÓN Y ATENCIÓN DESASTRES.</t>
  </si>
  <si>
    <r>
      <t xml:space="preserve">OBJETIVOS ESPECÍFICOS:
</t>
    </r>
    <r>
      <rPr>
        <sz val="11"/>
        <rFont val="Calibri"/>
        <family val="2"/>
      </rPr>
      <t>- Implementar acciones para la recuperación y protección de áreas degradadas.
- Aumentar el área de bosques reforestados  en cuencas abastecedoras de agua.
. Conservar  los ecosistemas que regulan la oferta hídrica, considerando el agua como factor de desarrollo económico y de bienestar social.
- Cumplir los niveles de  calidad del aire establecidos en la normatividad vigente. 
- Implantar una visión de largo plazo en el uso de energía.
- Contribuir a la seguridad, el bienestar, la calidad de vida de las personas y al desarrollo sostenible a través del control y la reducción del riesgo de desastres.
- Contribuir a la sostenibilidad del desarrollo a través de la reducción del impacto del cambio climático en la población y su entorno.
- Controlar la minería ilegal.</t>
    </r>
  </si>
  <si>
    <t>SECTOR:  SANEAMIENTO BÁSICO, AGUA POTABLE, SERVICIOS PÚBLICOS.</t>
  </si>
  <si>
    <t xml:space="preserve">OBJETIVOS ESPECÍFICOS:
- Ampliar la cobertura del servicio a nivel rural y urbano.
</t>
  </si>
  <si>
    <t>PROYECCIÓN DEL PLAN MAESTRO ALCANTARILLADO PRIMERA ETAPA.</t>
  </si>
  <si>
    <t>EJE ESTRATÉGICO: GESTIÓN DE INFRAESTRUCTURA FÍSICA - ADMINISTRATIVA Y FINANCIERA DANDO ORGANIZACIÓN TERRITORIAL Y AMBIENTAL.</t>
  </si>
  <si>
    <t xml:space="preserve">SECRETARÍA RESPONSABLE: PLANEACIÓN E INFRAESTRUCTURA - MEDIO AMBIENTE. </t>
  </si>
  <si>
    <t>EJE ESTRATÉGICO: GESTION DE INFRAESTRUCTURA FISICA - ADMINISTRATIVA Y FINANCIERA DANDO ORGANIZACIÓN TERRITORIAL Y AMBIENTAL.</t>
  </si>
  <si>
    <t>SECRETARÍA RESPONSABLE: PLANEACIÓN E INFRAESTRUCTURA Y MEDIO AMBIENTE - TRÁNSITO Y TRANSPORTE.</t>
  </si>
  <si>
    <t>EJE ESTRATÉGICO: GESTION DE INFRAESTRUCTURA FÍSICA - ADMINISTRATIVA Y FINANCIERA DANDO ORGANIZACIÓN TERRITORIAL Y AMBIENTAL.</t>
  </si>
  <si>
    <t>SECRETARÍA RESPONSABLE: PLANEACIÓN E INFRAESTRUCTURA Y MEDIO AMBIENTE. (UMATA)</t>
  </si>
  <si>
    <t>SECRETARÍA RESPONSABLE: PLANEACION E INFRAESTRUCTURA Y MEDIO AMBIENTE. (UMATA)</t>
  </si>
  <si>
    <t>SECRETARÍA RESPONSABLE: PLANEACION E INFRAESTRUCTURA - MEDIO AMBIENTE.</t>
  </si>
  <si>
    <t>SECRETARÍA RESPONSABLE: OFICINA CULTURA Y TURISMO.</t>
  </si>
  <si>
    <t>EJE ESTRATÉGICO: GESTIÓN DE INFRAESTRUCTURA FISICA - ADMINISTRATIVA Y FINANCIERA DANDO ORGANIZACIÓN TERRITORIAL Y AMBIENTAL.</t>
  </si>
  <si>
    <t>CONV</t>
  </si>
  <si>
    <t>OBJETIVOS ESPECIFICOS:
- Reubicar la biblioteca.
- Conservar los predios e inmuebles municipales.
- Construir y ampliar edificios y sedes administrativas.
- Remodelar y mejoramiento del parque Mutis.
- Ampliación, reabilitación y construcción del canal rada.</t>
  </si>
  <si>
    <t xml:space="preserve">Renovacion de los espacios culturales. </t>
  </si>
  <si>
    <t xml:space="preserve">Fomento a las artes. 
</t>
  </si>
  <si>
    <t xml:space="preserve">SAN SEBASTIÁN DE MARIQUITA DESTINO TURÍSTICO.
</t>
  </si>
  <si>
    <t>Calidad del aire.</t>
  </si>
  <si>
    <t>Mi ciudad bella.</t>
  </si>
  <si>
    <t>Mejorar el entorno.</t>
  </si>
  <si>
    <t>Realizar el estudios y diseño.</t>
  </si>
  <si>
    <t>Realizar 48 acciones para mejorar la imagen y el entorno, beneficiando a toda la comunidad.</t>
  </si>
  <si>
    <t>Hacer 4 mediciones de emisiones contaminantes.</t>
  </si>
  <si>
    <t>Medición de emisiones.</t>
  </si>
  <si>
    <t>4 ampliaciones y mantenimientos a los acueductos rurales construidos.</t>
  </si>
  <si>
    <t>Cobertura del servicio a nivel rural.</t>
  </si>
  <si>
    <t>AUMENTAR EL ÍNDICE DE COBERTURA DE ENERGIA ELÉCTRICA EN EL SECTOR RURAL.</t>
  </si>
  <si>
    <t xml:space="preserve">6 diseños y estudios. </t>
  </si>
  <si>
    <t>Ampliación y mantenimiento de sistemas de acueducto rural.</t>
  </si>
  <si>
    <t>Subsidios para agua potable y saneamiento básico.</t>
  </si>
  <si>
    <t>Construcción de sistemas de acueducto rural.</t>
  </si>
  <si>
    <t xml:space="preserve">Preinversión en diseños y estudios de acueductos rurales e interventorías. </t>
  </si>
  <si>
    <t>Soluciones alternas de alcantarillados para área urbana.</t>
  </si>
  <si>
    <t>Soluciones alternas de alcantarillados para área rural.</t>
  </si>
  <si>
    <t xml:space="preserve">Construcción, mantenimiento y reposición de redes de alcantarillado aguas lluvias en la área rural y urbana. </t>
  </si>
  <si>
    <t xml:space="preserve">Construcción, mantenimiento y reposición de redes de alcantarillado aguas residuales en la área rural y urbana. </t>
  </si>
  <si>
    <t xml:space="preserve">
Mantenimiento anual a la planta de tratamiento de aguas residuales del barrio Mutis.</t>
  </si>
  <si>
    <t xml:space="preserve">Mantenimiento de vías urbanas existentes. </t>
  </si>
  <si>
    <t>Mejoramiento de andenes y vias peatonales urbanas.</t>
  </si>
  <si>
    <t>Dividir el area urbana en 5 zonas para señalizar.</t>
  </si>
  <si>
    <t>4 unidades de policia de tránsito.</t>
  </si>
  <si>
    <t>Crear 6 zonas azules.</t>
  </si>
  <si>
    <t>16 Campañas de sensibilización.</t>
  </si>
  <si>
    <t>Reductores de Velocidad.</t>
  </si>
  <si>
    <t>36 reductores de velocidad.</t>
  </si>
  <si>
    <t>Repavimentar 4000 metros cuadrados.</t>
  </si>
  <si>
    <t xml:space="preserve">10000 Plántulas multiplicadas, beneficiando a 20 familias campesinas. </t>
  </si>
  <si>
    <t>Conservar los predios e inmubles municipales.</t>
  </si>
  <si>
    <t>Reubicación de la biblioteca existente.</t>
  </si>
  <si>
    <t>Construcción y ampliación de nuevos edificios y sedes administrativas.</t>
  </si>
  <si>
    <t>VARIANTE FERREA Y VIAL</t>
  </si>
  <si>
    <t>CABLE</t>
  </si>
  <si>
    <t xml:space="preserve">Pavimentación 3500 metro cuadrados. </t>
  </si>
  <si>
    <t xml:space="preserve">Mantenimiento y mejoramiento 120 kilómetros. </t>
  </si>
  <si>
    <t>Mantenimiento y mejoramiento  vías rurales existentes. (huellas, alcantarillas)</t>
  </si>
  <si>
    <t>La casa de la cultura debe ser la primera por hacer mantenimiento.</t>
  </si>
  <si>
    <t>El municipio hizo aporte para la casa de la justicia ojo.</t>
  </si>
  <si>
    <t xml:space="preserve">Fortalecimiento del tejido socio- cultural. </t>
  </si>
  <si>
    <t>Patrimonio.</t>
  </si>
  <si>
    <t>Fortalecer los eventos culturales  para producir espacios de participacion de calidad.</t>
  </si>
  <si>
    <t>Mantenimiento a 16 kilómetros.</t>
  </si>
  <si>
    <t xml:space="preserve">676 persona beneficiadas con la creación de la escuela de formación artística. </t>
  </si>
  <si>
    <t>676 niños, niñas y adolescentes entre 0 y 17 años, inscritos o matriculados en programas artísticos, lúdicos o culturales.</t>
  </si>
  <si>
    <t>Realizar la fase dos del plan de manejo y protección, para determinar los edificios de interés cultural en el sector antiguo.</t>
  </si>
  <si>
    <t>Insentivo a través de concurso ambiental para instituciones educativas.</t>
  </si>
  <si>
    <t>1 institución educativa beneficiada por año.</t>
  </si>
  <si>
    <t>alumnos capacitados en conservación ambiental.</t>
  </si>
  <si>
    <t>Comparendo ambiental</t>
  </si>
  <si>
    <t>Comparendos ambientales para infractores.</t>
  </si>
  <si>
    <t>Infractores.</t>
  </si>
  <si>
    <t>Promoción a nivel regional y nacional como destino turístico (ruta mutis, y eventos turísticos e institucionalizados).</t>
  </si>
  <si>
    <t>Programa planta de tratamiento de residuos sólidos biodegradables.</t>
  </si>
  <si>
    <t>Programa planta de reciclaje.</t>
  </si>
  <si>
    <t>Fortalecer el Consejo Municipal de Cultura, beneficiando a 400 personas entre aprendices, artistas y gestores culturales.</t>
  </si>
  <si>
    <t>1340 habitantes beneficiados con
actividades  socio culturales.</t>
  </si>
  <si>
    <t xml:space="preserve">Ejecutar 27 proyectos, beneficiando a niños, niñas, adolecentes y adultos. 
(Concurso regional de la música campesina, reinado de la caña panelera, cumpleaños de Mariquita, festival de duetos mangostino de oro, concurso de bandas, salón ecológico de bellas artes, eventos navideños, fiestas de san isidro labrador , festival de bandas papayeras,  encuentro de colonias). </t>
  </si>
  <si>
    <t>4272 niños, niñas y adolescentes entre 5 y 17 años beneficiados con el uso de la biblioteca municipal.</t>
  </si>
  <si>
    <t>2704 niños, niñas y adolescentes entre 0 y 17 años, inscritos o matriculados en programas artísticos, lúdicos o culturales y lecto escritura.</t>
  </si>
  <si>
    <t>Fomento a programas artísticos, lúdicos, culturales y lecto escritura. (uso biblioteca)</t>
  </si>
  <si>
    <t>Fomento al uso de la biblioteca.</t>
  </si>
  <si>
    <t>Capacitación de personas del sector comercial y turístico.</t>
  </si>
  <si>
    <r>
      <rPr>
        <sz val="9"/>
        <rFont val="Calibri"/>
        <family val="2"/>
      </rPr>
      <t xml:space="preserve">Ejecutar 28 actividades, beneficiando a niños, niñas, adolecentes y adultos. </t>
    </r>
    <r>
      <rPr>
        <sz val="9"/>
        <color indexed="51"/>
        <rFont val="Calibri"/>
        <family val="2"/>
      </rPr>
      <t xml:space="preserve">
</t>
    </r>
    <r>
      <rPr>
        <sz val="9"/>
        <color indexed="8"/>
        <rFont val="Calibri"/>
        <family val="2"/>
      </rPr>
      <t xml:space="preserve">con el mantenimiento   de espacios culturales, monumentos históricos, parques y la casa de la cultura. </t>
    </r>
  </si>
  <si>
    <t xml:space="preserve">Renovacion casa de la cultura. </t>
  </si>
  <si>
    <t>Lecto escritura.</t>
  </si>
  <si>
    <t xml:space="preserve">Eventos. </t>
  </si>
  <si>
    <t>Insentivos tributarios (revisión en estatuto de rentas para bienes de Interes cultural inmuebles).</t>
  </si>
  <si>
    <t>8 diseños y estudios de infraestructura.</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</si>
</sst>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_(* #,##0_);_(* \(#,##0\);_(* &quot;-&quot;??_);_(@_)"/>
    <numFmt numFmtId="210" formatCode="&quot;$&quot;\ #,##0.00"/>
    <numFmt numFmtId="211" formatCode="&quot;$&quot;\ #,##0;[Red]&quot;$&quot;\ #,##0"/>
    <numFmt numFmtId="212" formatCode="&quot;$&quot;\ #,##0"/>
    <numFmt numFmtId="213" formatCode="[$$-240A]\ #,##0"/>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_-* #,##0_-;\-* #,##0_-;_-* &quot;-&quot;??_-;_-@_-"/>
  </numFmts>
  <fonts count="53">
    <font>
      <sz val="10"/>
      <name val="Arial"/>
      <family val="0"/>
    </font>
    <font>
      <u val="single"/>
      <sz val="10"/>
      <color indexed="12"/>
      <name val="Arial"/>
      <family val="0"/>
    </font>
    <font>
      <u val="single"/>
      <sz val="10"/>
      <color indexed="36"/>
      <name val="Arial"/>
      <family val="0"/>
    </font>
    <font>
      <sz val="8"/>
      <name val="Arial"/>
      <family val="2"/>
    </font>
    <font>
      <sz val="11"/>
      <color indexed="10"/>
      <name val="Calibri"/>
      <family val="2"/>
    </font>
    <font>
      <sz val="11"/>
      <name val="Calibri"/>
      <family val="2"/>
    </font>
    <font>
      <sz val="11"/>
      <color indexed="8"/>
      <name val="Calibri"/>
      <family val="2"/>
    </font>
    <font>
      <sz val="11"/>
      <color indexed="8"/>
      <name val="Verdana"/>
      <family val="2"/>
    </font>
    <font>
      <sz val="9"/>
      <name val="Calibri"/>
      <family val="2"/>
    </font>
    <font>
      <sz val="9"/>
      <color indexed="8"/>
      <name val="Calibri"/>
      <family val="2"/>
    </font>
    <font>
      <b/>
      <sz val="9"/>
      <color indexed="8"/>
      <name val="Calibri"/>
      <family val="2"/>
    </font>
    <font>
      <sz val="9"/>
      <color indexed="5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Calibri"/>
      <family val="2"/>
    </font>
    <font>
      <b/>
      <sz val="11"/>
      <name val="Calibri"/>
      <family val="2"/>
    </font>
    <font>
      <b/>
      <sz val="9"/>
      <color indexed="9"/>
      <name val="Calibri"/>
      <family val="2"/>
    </font>
    <font>
      <b/>
      <sz val="14"/>
      <color indexed="8"/>
      <name val="Calibri"/>
      <family val="2"/>
    </font>
    <font>
      <b/>
      <i/>
      <sz val="11"/>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sz val="9"/>
      <color theme="0"/>
      <name val="Calibri"/>
      <family val="2"/>
    </font>
    <font>
      <b/>
      <sz val="14"/>
      <color theme="1"/>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gray0625">
        <bgColor rgb="FF92D050"/>
      </patternFill>
    </fill>
    <fill>
      <patternFill patternType="gray0625">
        <bgColor theme="0" tint="-0.04997999966144562"/>
      </patternFill>
    </fill>
    <fill>
      <patternFill patternType="gray0625">
        <fgColor rgb="FF000000"/>
        <bgColor rgb="FFF2F2F2"/>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style="thin">
        <color indexed="63"/>
      </left>
      <right style="medium">
        <color indexed="63"/>
      </right>
      <top style="medium">
        <color indexed="63"/>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indexed="63"/>
      </left>
      <right style="thin">
        <color indexed="63"/>
      </right>
      <top style="thin">
        <color indexed="63"/>
      </top>
      <bottom>
        <color indexed="63"/>
      </bottom>
    </border>
    <border>
      <left style="thin">
        <color indexed="63"/>
      </left>
      <right>
        <color indexed="63"/>
      </right>
      <top style="medium">
        <color indexed="63"/>
      </top>
      <bottom>
        <color indexed="63"/>
      </bottom>
    </border>
    <border>
      <left style="medium">
        <color indexed="63"/>
      </left>
      <right style="thin">
        <color indexed="63"/>
      </right>
      <top style="thin">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thin"/>
      <bottom style="medium"/>
    </border>
    <border>
      <left style="thin">
        <color indexed="63"/>
      </left>
      <right style="thin">
        <color indexed="63"/>
      </right>
      <top style="thin">
        <color indexed="63"/>
      </top>
      <bottom style="mediu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medium">
        <color indexed="63"/>
      </right>
      <top>
        <color indexed="63"/>
      </top>
      <bottom>
        <color indexed="63"/>
      </bottom>
    </border>
    <border>
      <left style="medium">
        <color indexed="63"/>
      </left>
      <right>
        <color indexed="63"/>
      </right>
      <top>
        <color indexed="63"/>
      </top>
      <bottom style="thin">
        <color indexed="63"/>
      </bottom>
    </border>
    <border>
      <left>
        <color indexed="63"/>
      </left>
      <right style="thin">
        <color indexed="63"/>
      </right>
      <top>
        <color indexed="63"/>
      </top>
      <bottom style="medium">
        <color indexed="63"/>
      </bottom>
    </border>
    <border>
      <left>
        <color indexed="63"/>
      </left>
      <right style="medium">
        <color indexed="63"/>
      </right>
      <top>
        <color indexed="63"/>
      </top>
      <bottom style="mediu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2"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2"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2"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2"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2"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2"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3"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33"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33"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3"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33"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3"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34" fillId="3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5" fillId="35" borderId="1" applyNumberFormat="0" applyAlignment="0" applyProtection="0"/>
    <xf numFmtId="0" fontId="14" fillId="36" borderId="2" applyNumberFormat="0" applyAlignment="0" applyProtection="0"/>
    <xf numFmtId="0" fontId="14" fillId="36" borderId="2" applyNumberFormat="0" applyAlignment="0" applyProtection="0"/>
    <xf numFmtId="0" fontId="14" fillId="36" borderId="2" applyNumberFormat="0" applyAlignment="0" applyProtection="0"/>
    <xf numFmtId="0" fontId="36" fillId="37" borderId="3" applyNumberFormat="0" applyAlignment="0" applyProtection="0"/>
    <xf numFmtId="0" fontId="15" fillId="38" borderId="4" applyNumberFormat="0" applyAlignment="0" applyProtection="0"/>
    <xf numFmtId="0" fontId="15" fillId="38" borderId="4" applyNumberFormat="0" applyAlignment="0" applyProtection="0"/>
    <xf numFmtId="0" fontId="15" fillId="38" borderId="4" applyNumberFormat="0" applyAlignment="0" applyProtection="0"/>
    <xf numFmtId="0" fontId="37"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3"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33"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3"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33" fillId="4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33" fillId="4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3"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39" fillId="49"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5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3" fontId="32"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1"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42" fillId="35" borderId="9" applyNumberFormat="0" applyAlignment="0" applyProtection="0"/>
    <xf numFmtId="0" fontId="21" fillId="36" borderId="10" applyNumberFormat="0" applyAlignment="0" applyProtection="0"/>
    <xf numFmtId="0" fontId="21" fillId="36" borderId="10" applyNumberFormat="0" applyAlignment="0" applyProtection="0"/>
    <xf numFmtId="0" fontId="21" fillId="36" borderId="10" applyNumberFormat="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47"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38"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8"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cellStyleXfs>
  <cellXfs count="349">
    <xf numFmtId="0" fontId="0" fillId="0" borderId="0" xfId="0" applyAlignment="1">
      <alignment/>
    </xf>
    <xf numFmtId="0" fontId="49" fillId="55" borderId="19" xfId="180" applyFont="1" applyFill="1" applyBorder="1" applyAlignment="1">
      <alignment horizontal="center" wrapText="1"/>
      <protection/>
    </xf>
    <xf numFmtId="0" fontId="49" fillId="55" borderId="20" xfId="180" applyFont="1" applyFill="1" applyBorder="1" applyAlignment="1">
      <alignment horizontal="center" wrapText="1"/>
      <protection/>
    </xf>
    <xf numFmtId="0" fontId="49" fillId="55" borderId="20" xfId="180" applyFont="1" applyFill="1" applyBorder="1" applyAlignment="1">
      <alignment horizontal="left" wrapText="1"/>
      <protection/>
    </xf>
    <xf numFmtId="0" fontId="0" fillId="0" borderId="0" xfId="177">
      <alignment/>
      <protection/>
    </xf>
    <xf numFmtId="0" fontId="0" fillId="0" borderId="0" xfId="0" applyFont="1" applyAlignment="1">
      <alignment/>
    </xf>
    <xf numFmtId="0" fontId="0" fillId="55" borderId="0" xfId="177" applyFill="1">
      <alignment/>
      <protection/>
    </xf>
    <xf numFmtId="0" fontId="3" fillId="0" borderId="0" xfId="177" applyFont="1">
      <alignment/>
      <protection/>
    </xf>
    <xf numFmtId="0" fontId="50" fillId="0" borderId="19" xfId="180" applyFont="1" applyBorder="1" applyAlignment="1">
      <alignment horizontal="justify" wrapText="1"/>
      <protection/>
    </xf>
    <xf numFmtId="0" fontId="8" fillId="0" borderId="19" xfId="177" applyFont="1" applyBorder="1" applyAlignment="1">
      <alignment horizontal="justify" wrapText="1"/>
      <protection/>
    </xf>
    <xf numFmtId="197" fontId="49" fillId="55" borderId="19" xfId="167" applyFont="1" applyFill="1" applyBorder="1" applyAlignment="1">
      <alignment horizontal="center" wrapText="1"/>
    </xf>
    <xf numFmtId="0" fontId="8" fillId="0" borderId="19" xfId="177" applyFont="1" applyBorder="1" applyAlignment="1">
      <alignment/>
      <protection/>
    </xf>
    <xf numFmtId="3" fontId="49" fillId="55" borderId="19" xfId="167" applyNumberFormat="1" applyFont="1" applyFill="1" applyBorder="1" applyAlignment="1">
      <alignment horizontal="center" wrapText="1"/>
    </xf>
    <xf numFmtId="0" fontId="8" fillId="0" borderId="19" xfId="183" applyFont="1" applyBorder="1">
      <alignment/>
      <protection/>
    </xf>
    <xf numFmtId="0" fontId="8" fillId="0" borderId="19" xfId="183" applyFont="1" applyBorder="1" applyAlignment="1">
      <alignment wrapText="1"/>
      <protection/>
    </xf>
    <xf numFmtId="0" fontId="49" fillId="55" borderId="19" xfId="180" applyFont="1" applyFill="1" applyBorder="1" applyAlignment="1">
      <alignment horizontal="left" wrapText="1"/>
      <protection/>
    </xf>
    <xf numFmtId="0" fontId="27" fillId="0" borderId="0" xfId="180" applyFont="1" applyFill="1" applyBorder="1" applyAlignment="1">
      <alignment wrapText="1"/>
      <protection/>
    </xf>
    <xf numFmtId="212" fontId="49" fillId="0" borderId="19" xfId="180" applyNumberFormat="1" applyFont="1" applyBorder="1">
      <alignment/>
      <protection/>
    </xf>
    <xf numFmtId="212" fontId="49" fillId="0" borderId="20" xfId="180" applyNumberFormat="1" applyFont="1" applyBorder="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wrapText="1"/>
      <protection/>
    </xf>
    <xf numFmtId="212" fontId="0" fillId="0" borderId="0" xfId="0" applyNumberFormat="1" applyFont="1" applyFill="1" applyBorder="1" applyAlignment="1" applyProtection="1">
      <alignment/>
      <protection/>
    </xf>
    <xf numFmtId="0" fontId="50" fillId="0" borderId="21" xfId="180" applyFont="1" applyBorder="1" applyAlignment="1">
      <alignment wrapText="1"/>
      <protection/>
    </xf>
    <xf numFmtId="0" fontId="49" fillId="0" borderId="21" xfId="180" applyFont="1" applyBorder="1" applyAlignment="1">
      <alignment wrapText="1"/>
      <protection/>
    </xf>
    <xf numFmtId="0" fontId="49" fillId="0" borderId="20" xfId="180" applyFont="1" applyBorder="1" applyAlignment="1">
      <alignment wrapText="1"/>
      <protection/>
    </xf>
    <xf numFmtId="0" fontId="49" fillId="0" borderId="19" xfId="180" applyFont="1" applyBorder="1" applyAlignment="1">
      <alignment wrapText="1"/>
      <protection/>
    </xf>
    <xf numFmtId="0" fontId="8" fillId="0" borderId="19" xfId="180" applyFont="1" applyBorder="1">
      <alignment/>
      <protection/>
    </xf>
    <xf numFmtId="0" fontId="8" fillId="0" borderId="19" xfId="180" applyFont="1" applyBorder="1" applyAlignment="1">
      <alignment wrapText="1"/>
      <protection/>
    </xf>
    <xf numFmtId="0" fontId="50" fillId="0" borderId="19" xfId="180" applyFont="1" applyBorder="1" applyAlignment="1">
      <alignment horizontal="justify"/>
      <protection/>
    </xf>
    <xf numFmtId="0" fontId="50" fillId="55" borderId="20" xfId="180" applyFont="1" applyFill="1" applyBorder="1" applyAlignment="1">
      <alignment horizontal="justify" wrapText="1"/>
      <protection/>
    </xf>
    <xf numFmtId="0" fontId="50" fillId="55" borderId="19" xfId="180" applyFont="1" applyFill="1" applyBorder="1" applyAlignment="1">
      <alignment horizontal="justify"/>
      <protection/>
    </xf>
    <xf numFmtId="0" fontId="8" fillId="0" borderId="20" xfId="180" applyFont="1" applyBorder="1">
      <alignment/>
      <protection/>
    </xf>
    <xf numFmtId="0" fontId="8" fillId="0" borderId="20" xfId="180" applyFont="1" applyBorder="1" applyAlignment="1">
      <alignment wrapText="1"/>
      <protection/>
    </xf>
    <xf numFmtId="0" fontId="49" fillId="0" borderId="20" xfId="180" applyFont="1" applyBorder="1">
      <alignment/>
      <protection/>
    </xf>
    <xf numFmtId="0" fontId="49" fillId="0" borderId="19" xfId="180" applyFont="1" applyBorder="1">
      <alignment/>
      <protection/>
    </xf>
    <xf numFmtId="0" fontId="27" fillId="0" borderId="19" xfId="180" applyFont="1" applyBorder="1" applyAlignment="1">
      <alignment wrapText="1"/>
      <protection/>
    </xf>
    <xf numFmtId="0" fontId="27" fillId="0" borderId="21" xfId="180" applyFont="1" applyFill="1" applyBorder="1" applyAlignment="1">
      <alignment wrapText="1"/>
      <protection/>
    </xf>
    <xf numFmtId="0" fontId="49" fillId="0" borderId="21" xfId="180" applyFont="1" applyFill="1" applyBorder="1">
      <alignment/>
      <protection/>
    </xf>
    <xf numFmtId="0" fontId="8" fillId="0" borderId="21" xfId="180" applyFont="1" applyFill="1" applyBorder="1" applyAlignment="1">
      <alignment wrapText="1"/>
      <protection/>
    </xf>
    <xf numFmtId="0" fontId="49" fillId="0" borderId="21" xfId="180" applyFont="1" applyBorder="1">
      <alignment/>
      <protection/>
    </xf>
    <xf numFmtId="0" fontId="50" fillId="0" borderId="22" xfId="180" applyFont="1" applyBorder="1" applyAlignment="1">
      <alignment horizontal="left"/>
      <protection/>
    </xf>
    <xf numFmtId="0" fontId="8" fillId="0" borderId="19" xfId="180" applyFont="1" applyBorder="1" applyAlignment="1">
      <alignment horizontal="left" wrapText="1"/>
      <protection/>
    </xf>
    <xf numFmtId="0" fontId="50" fillId="0" borderId="22" xfId="180" applyFont="1" applyBorder="1" applyAlignment="1">
      <alignment horizontal="justify" vertical="center" wrapText="1"/>
      <protection/>
    </xf>
    <xf numFmtId="0" fontId="49" fillId="0" borderId="20" xfId="180" applyFont="1" applyBorder="1" applyAlignment="1">
      <alignment horizontal="justify" wrapText="1"/>
      <protection/>
    </xf>
    <xf numFmtId="0" fontId="49" fillId="0" borderId="19" xfId="180" applyFont="1" applyBorder="1" applyAlignment="1">
      <alignment horizontal="justify" wrapText="1"/>
      <protection/>
    </xf>
    <xf numFmtId="0" fontId="50" fillId="55" borderId="19" xfId="180" applyFont="1" applyFill="1" applyBorder="1" applyAlignment="1">
      <alignment horizontal="justify" vertical="center" wrapText="1"/>
      <protection/>
    </xf>
    <xf numFmtId="0" fontId="50" fillId="0" borderId="22" xfId="180" applyFont="1" applyBorder="1" applyAlignment="1">
      <alignment horizontal="justify" wrapText="1"/>
      <protection/>
    </xf>
    <xf numFmtId="0" fontId="50" fillId="55" borderId="19" xfId="180" applyFont="1" applyFill="1" applyBorder="1" applyAlignment="1">
      <alignment horizontal="justify" wrapText="1"/>
      <protection/>
    </xf>
    <xf numFmtId="0" fontId="50" fillId="0" borderId="23" xfId="180" applyFont="1" applyBorder="1" applyAlignment="1">
      <alignment horizontal="justify" wrapText="1"/>
      <protection/>
    </xf>
    <xf numFmtId="211" fontId="28" fillId="55" borderId="24" xfId="177" applyNumberFormat="1" applyFont="1" applyFill="1" applyBorder="1">
      <alignment/>
      <protection/>
    </xf>
    <xf numFmtId="0" fontId="5" fillId="0" borderId="0" xfId="0" applyFont="1" applyAlignment="1">
      <alignment/>
    </xf>
    <xf numFmtId="212" fontId="28" fillId="55" borderId="25" xfId="177" applyNumberFormat="1" applyFont="1" applyFill="1" applyBorder="1">
      <alignment/>
      <protection/>
    </xf>
    <xf numFmtId="212" fontId="8" fillId="0" borderId="20" xfId="0" applyNumberFormat="1" applyFont="1" applyBorder="1" applyAlignment="1">
      <alignment/>
    </xf>
    <xf numFmtId="212" fontId="8" fillId="0" borderId="19" xfId="0" applyNumberFormat="1" applyFont="1" applyBorder="1" applyAlignment="1">
      <alignment/>
    </xf>
    <xf numFmtId="212" fontId="8" fillId="0" borderId="21" xfId="0" applyNumberFormat="1" applyFont="1" applyBorder="1" applyAlignment="1">
      <alignment/>
    </xf>
    <xf numFmtId="212" fontId="27" fillId="0" borderId="20" xfId="0" applyNumberFormat="1" applyFont="1" applyBorder="1" applyAlignment="1">
      <alignment/>
    </xf>
    <xf numFmtId="9" fontId="27" fillId="0" borderId="26" xfId="0" applyNumberFormat="1" applyFont="1" applyBorder="1" applyAlignment="1">
      <alignment/>
    </xf>
    <xf numFmtId="212" fontId="27" fillId="0" borderId="19" xfId="0" applyNumberFormat="1" applyFont="1" applyBorder="1" applyAlignment="1">
      <alignment/>
    </xf>
    <xf numFmtId="9" fontId="27" fillId="0" borderId="27" xfId="0" applyNumberFormat="1" applyFont="1" applyBorder="1" applyAlignment="1">
      <alignment/>
    </xf>
    <xf numFmtId="212" fontId="27" fillId="0" borderId="21" xfId="0" applyNumberFormat="1" applyFont="1" applyBorder="1" applyAlignment="1">
      <alignment/>
    </xf>
    <xf numFmtId="9" fontId="27" fillId="0" borderId="28" xfId="0" applyNumberFormat="1" applyFont="1" applyBorder="1" applyAlignment="1">
      <alignment/>
    </xf>
    <xf numFmtId="0" fontId="8" fillId="0" borderId="20" xfId="183" applyFont="1" applyBorder="1">
      <alignment/>
      <protection/>
    </xf>
    <xf numFmtId="212" fontId="8" fillId="0" borderId="20" xfId="183" applyNumberFormat="1" applyFont="1" applyBorder="1">
      <alignment/>
      <protection/>
    </xf>
    <xf numFmtId="212" fontId="8" fillId="0" borderId="19" xfId="183" applyNumberFormat="1" applyFont="1" applyBorder="1">
      <alignment/>
      <protection/>
    </xf>
    <xf numFmtId="0" fontId="50" fillId="0" borderId="22" xfId="180" applyFont="1" applyBorder="1" applyAlignment="1">
      <alignment wrapText="1"/>
      <protection/>
    </xf>
    <xf numFmtId="0" fontId="50" fillId="0" borderId="19" xfId="180" applyFont="1" applyBorder="1" applyAlignment="1">
      <alignment wrapText="1"/>
      <protection/>
    </xf>
    <xf numFmtId="0" fontId="49" fillId="0" borderId="19" xfId="180" applyFont="1" applyBorder="1" applyAlignment="1">
      <alignment/>
      <protection/>
    </xf>
    <xf numFmtId="0" fontId="8" fillId="0" borderId="21" xfId="0" applyFont="1" applyBorder="1" applyAlignment="1">
      <alignment/>
    </xf>
    <xf numFmtId="211" fontId="28" fillId="55" borderId="29" xfId="177" applyNumberFormat="1" applyFont="1" applyFill="1" applyBorder="1">
      <alignment/>
      <protection/>
    </xf>
    <xf numFmtId="211" fontId="28" fillId="55" borderId="30" xfId="177" applyNumberFormat="1" applyFont="1" applyFill="1" applyBorder="1">
      <alignment/>
      <protection/>
    </xf>
    <xf numFmtId="212" fontId="27" fillId="0" borderId="19" xfId="183" applyNumberFormat="1" applyFont="1" applyBorder="1">
      <alignment/>
      <protection/>
    </xf>
    <xf numFmtId="9" fontId="28" fillId="0" borderId="31" xfId="0" applyNumberFormat="1" applyFont="1" applyBorder="1" applyAlignment="1">
      <alignment/>
    </xf>
    <xf numFmtId="0" fontId="8" fillId="0" borderId="0" xfId="0" applyNumberFormat="1" applyFont="1" applyFill="1" applyBorder="1" applyAlignment="1" applyProtection="1">
      <alignment/>
      <protection/>
    </xf>
    <xf numFmtId="1" fontId="9" fillId="56" borderId="32" xfId="0" applyNumberFormat="1" applyFont="1" applyFill="1" applyBorder="1" applyAlignment="1" applyProtection="1">
      <alignment horizontal="center" wrapText="1"/>
      <protection/>
    </xf>
    <xf numFmtId="1" fontId="9" fillId="55" borderId="32" xfId="0" applyNumberFormat="1" applyFont="1" applyFill="1" applyBorder="1" applyAlignment="1" applyProtection="1">
      <alignment horizontal="center" wrapText="1"/>
      <protection/>
    </xf>
    <xf numFmtId="212" fontId="8" fillId="56" borderId="32"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horizontal="justify" wrapText="1"/>
      <protection/>
    </xf>
    <xf numFmtId="1" fontId="9" fillId="56" borderId="10" xfId="0" applyNumberFormat="1" applyFont="1" applyFill="1" applyBorder="1" applyAlignment="1" applyProtection="1">
      <alignment horizontal="center" wrapText="1"/>
      <protection/>
    </xf>
    <xf numFmtId="212" fontId="8" fillId="56" borderId="10" xfId="0" applyNumberFormat="1" applyFont="1" applyFill="1" applyBorder="1" applyAlignment="1" applyProtection="1">
      <alignment horizontal="right" wrapText="1"/>
      <protection/>
    </xf>
    <xf numFmtId="0" fontId="10" fillId="0" borderId="10" xfId="0" applyNumberFormat="1" applyFont="1" applyFill="1" applyBorder="1" applyAlignment="1" applyProtection="1">
      <alignment horizontal="justify" wrapText="1"/>
      <protection/>
    </xf>
    <xf numFmtId="0" fontId="9" fillId="0" borderId="10" xfId="0" applyNumberFormat="1" applyFont="1" applyFill="1" applyBorder="1" applyAlignment="1" applyProtection="1">
      <alignment horizontal="center" wrapText="1"/>
      <protection/>
    </xf>
    <xf numFmtId="0" fontId="9" fillId="55" borderId="10" xfId="0" applyNumberFormat="1" applyFont="1" applyFill="1" applyBorder="1" applyAlignment="1" applyProtection="1">
      <alignment horizontal="right" wrapText="1"/>
      <protection/>
    </xf>
    <xf numFmtId="0" fontId="9" fillId="56" borderId="10" xfId="0" applyNumberFormat="1" applyFont="1" applyFill="1" applyBorder="1" applyAlignment="1" applyProtection="1">
      <alignment horizontal="right" wrapText="1"/>
      <protection/>
    </xf>
    <xf numFmtId="0" fontId="9" fillId="55" borderId="10" xfId="0" applyNumberFormat="1" applyFont="1" applyFill="1" applyBorder="1" applyAlignment="1" applyProtection="1">
      <alignment horizontal="justify" wrapText="1"/>
      <protection/>
    </xf>
    <xf numFmtId="0" fontId="9" fillId="55" borderId="10" xfId="0" applyNumberFormat="1" applyFont="1" applyFill="1" applyBorder="1" applyAlignment="1" applyProtection="1">
      <alignment horizontal="center" wrapText="1"/>
      <protection/>
    </xf>
    <xf numFmtId="212" fontId="27" fillId="0" borderId="32" xfId="0" applyNumberFormat="1" applyFont="1" applyFill="1" applyBorder="1" applyAlignment="1" applyProtection="1">
      <alignment wrapText="1"/>
      <protection/>
    </xf>
    <xf numFmtId="9" fontId="27" fillId="0" borderId="33" xfId="0" applyNumberFormat="1" applyFont="1" applyFill="1" applyBorder="1" applyAlignment="1" applyProtection="1">
      <alignment wrapText="1"/>
      <protection/>
    </xf>
    <xf numFmtId="212" fontId="27" fillId="0" borderId="10" xfId="0" applyNumberFormat="1" applyFont="1" applyFill="1" applyBorder="1" applyAlignment="1" applyProtection="1">
      <alignment wrapText="1"/>
      <protection/>
    </xf>
    <xf numFmtId="9" fontId="27" fillId="0" borderId="34" xfId="0" applyNumberFormat="1" applyFont="1" applyFill="1" applyBorder="1" applyAlignment="1" applyProtection="1">
      <alignment wrapText="1"/>
      <protection/>
    </xf>
    <xf numFmtId="0" fontId="9" fillId="56" borderId="19" xfId="0" applyNumberFormat="1" applyFont="1" applyFill="1" applyBorder="1" applyAlignment="1" applyProtection="1">
      <alignment horizontal="justify" wrapText="1"/>
      <protection/>
    </xf>
    <xf numFmtId="3" fontId="9" fillId="56" borderId="19" xfId="0" applyNumberFormat="1" applyFont="1" applyFill="1" applyBorder="1" applyAlignment="1" applyProtection="1">
      <alignment horizontal="center" wrapText="1"/>
      <protection/>
    </xf>
    <xf numFmtId="212" fontId="8" fillId="56" borderId="19" xfId="0" applyNumberFormat="1" applyFont="1" applyFill="1" applyBorder="1" applyAlignment="1" applyProtection="1">
      <alignment horizontal="right"/>
      <protection/>
    </xf>
    <xf numFmtId="0" fontId="9" fillId="56" borderId="20" xfId="0" applyNumberFormat="1" applyFont="1" applyFill="1" applyBorder="1" applyAlignment="1" applyProtection="1">
      <alignment horizontal="justify" wrapText="1"/>
      <protection/>
    </xf>
    <xf numFmtId="3" fontId="9" fillId="56" borderId="20" xfId="0" applyNumberFormat="1" applyFont="1" applyFill="1" applyBorder="1" applyAlignment="1" applyProtection="1">
      <alignment horizontal="center" wrapText="1"/>
      <protection/>
    </xf>
    <xf numFmtId="212" fontId="8" fillId="56" borderId="20" xfId="0" applyNumberFormat="1" applyFont="1" applyFill="1" applyBorder="1" applyAlignment="1" applyProtection="1">
      <alignment horizontal="right"/>
      <protection/>
    </xf>
    <xf numFmtId="212" fontId="8" fillId="56" borderId="21" xfId="0" applyNumberFormat="1" applyFont="1" applyFill="1" applyBorder="1" applyAlignment="1" applyProtection="1">
      <alignment horizontal="right"/>
      <protection/>
    </xf>
    <xf numFmtId="0" fontId="8" fillId="0" borderId="0" xfId="0" applyFont="1" applyAlignment="1">
      <alignment/>
    </xf>
    <xf numFmtId="212" fontId="27" fillId="56" borderId="20" xfId="0" applyNumberFormat="1" applyFont="1" applyFill="1" applyBorder="1" applyAlignment="1" applyProtection="1">
      <alignment horizontal="center"/>
      <protection/>
    </xf>
    <xf numFmtId="212" fontId="27" fillId="56" borderId="19" xfId="0" applyNumberFormat="1" applyFont="1" applyFill="1" applyBorder="1" applyAlignment="1" applyProtection="1">
      <alignment horizontal="center"/>
      <protection/>
    </xf>
    <xf numFmtId="212" fontId="27" fillId="56" borderId="21" xfId="0" applyNumberFormat="1" applyFont="1" applyFill="1" applyBorder="1" applyAlignment="1" applyProtection="1">
      <alignment horizontal="center"/>
      <protection/>
    </xf>
    <xf numFmtId="0" fontId="8" fillId="0" borderId="21" xfId="0" applyFont="1" applyBorder="1" applyAlignment="1">
      <alignment horizontal="center"/>
    </xf>
    <xf numFmtId="206" fontId="8" fillId="0" borderId="21" xfId="0" applyNumberFormat="1" applyFont="1" applyBorder="1" applyAlignment="1">
      <alignment/>
    </xf>
    <xf numFmtId="0" fontId="5" fillId="0" borderId="0" xfId="177" applyFont="1">
      <alignment/>
      <protection/>
    </xf>
    <xf numFmtId="212" fontId="28" fillId="0" borderId="35" xfId="0" applyNumberFormat="1" applyFont="1" applyFill="1" applyBorder="1" applyAlignment="1" applyProtection="1">
      <alignment/>
      <protection/>
    </xf>
    <xf numFmtId="212" fontId="28" fillId="0" borderId="36" xfId="0" applyNumberFormat="1" applyFont="1" applyFill="1" applyBorder="1" applyAlignment="1" applyProtection="1">
      <alignment/>
      <protection/>
    </xf>
    <xf numFmtId="9" fontId="28" fillId="0" borderId="3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3" fontId="49" fillId="55" borderId="20" xfId="161" applyNumberFormat="1" applyFont="1" applyFill="1" applyBorder="1" applyAlignment="1">
      <alignment horizontal="center" wrapText="1"/>
    </xf>
    <xf numFmtId="3" fontId="49" fillId="55" borderId="19" xfId="161" applyNumberFormat="1" applyFont="1" applyFill="1" applyBorder="1" applyAlignment="1">
      <alignment horizontal="center" wrapText="1"/>
    </xf>
    <xf numFmtId="0" fontId="50" fillId="0" borderId="23" xfId="180" applyFont="1" applyBorder="1" applyAlignment="1">
      <alignment horizontal="justify" vertical="center" wrapText="1"/>
      <protection/>
    </xf>
    <xf numFmtId="211" fontId="28" fillId="55" borderId="25" xfId="177" applyNumberFormat="1" applyFont="1" applyFill="1" applyBorder="1">
      <alignment/>
      <protection/>
    </xf>
    <xf numFmtId="0" fontId="50" fillId="55" borderId="20" xfId="180" applyFont="1" applyFill="1" applyBorder="1" applyAlignment="1">
      <alignment horizontal="left" wrapText="1"/>
      <protection/>
    </xf>
    <xf numFmtId="0" fontId="50" fillId="55" borderId="19" xfId="180" applyFont="1" applyFill="1" applyBorder="1" applyAlignment="1">
      <alignment horizontal="left" wrapText="1"/>
      <protection/>
    </xf>
    <xf numFmtId="0" fontId="8" fillId="55" borderId="0" xfId="0" applyFont="1" applyFill="1" applyAlignment="1">
      <alignment/>
    </xf>
    <xf numFmtId="197" fontId="9" fillId="55" borderId="19" xfId="0" applyNumberFormat="1" applyFont="1" applyFill="1" applyBorder="1" applyAlignment="1" applyProtection="1">
      <alignment vertical="center" wrapText="1"/>
      <protection/>
    </xf>
    <xf numFmtId="212" fontId="8" fillId="55" borderId="19" xfId="0" applyNumberFormat="1" applyFont="1" applyFill="1" applyBorder="1" applyAlignment="1">
      <alignment/>
    </xf>
    <xf numFmtId="0" fontId="49" fillId="0" borderId="19" xfId="180" applyFont="1" applyBorder="1" applyAlignment="1">
      <alignment horizontal="left" wrapText="1"/>
      <protection/>
    </xf>
    <xf numFmtId="0" fontId="27" fillId="0" borderId="19" xfId="177" applyFont="1" applyBorder="1" applyAlignment="1">
      <alignment horizontal="justify" vertical="center" wrapText="1"/>
      <protection/>
    </xf>
    <xf numFmtId="0" fontId="27" fillId="0" borderId="19" xfId="177" applyFont="1" applyBorder="1" applyAlignment="1">
      <alignment vertical="center" wrapText="1"/>
      <protection/>
    </xf>
    <xf numFmtId="212" fontId="8" fillId="55" borderId="19" xfId="177" applyNumberFormat="1" applyFont="1" applyFill="1" applyBorder="1">
      <alignment/>
      <protection/>
    </xf>
    <xf numFmtId="0" fontId="27" fillId="0" borderId="19" xfId="177" applyFont="1" applyBorder="1" applyAlignment="1">
      <alignment wrapText="1"/>
      <protection/>
    </xf>
    <xf numFmtId="0" fontId="27" fillId="0" borderId="20" xfId="177" applyFont="1" applyBorder="1" applyAlignment="1">
      <alignment horizontal="justify" wrapText="1"/>
      <protection/>
    </xf>
    <xf numFmtId="0" fontId="8" fillId="0" borderId="20" xfId="177" applyFont="1" applyBorder="1" applyAlignment="1">
      <alignment horizontal="left" wrapText="1"/>
      <protection/>
    </xf>
    <xf numFmtId="3" fontId="49" fillId="55" borderId="20" xfId="167" applyNumberFormat="1" applyFont="1" applyFill="1" applyBorder="1" applyAlignment="1">
      <alignment horizontal="center" wrapText="1"/>
    </xf>
    <xf numFmtId="212" fontId="8" fillId="55" borderId="20" xfId="177" applyNumberFormat="1" applyFont="1" applyFill="1" applyBorder="1">
      <alignment/>
      <protection/>
    </xf>
    <xf numFmtId="0" fontId="27" fillId="0" borderId="21" xfId="177" applyFont="1" applyBorder="1" applyAlignment="1">
      <alignment horizontal="justify" vertical="center" wrapText="1"/>
      <protection/>
    </xf>
    <xf numFmtId="0" fontId="8" fillId="0" borderId="21" xfId="177" applyFont="1" applyBorder="1" applyAlignment="1">
      <alignment horizontal="justify" wrapText="1"/>
      <protection/>
    </xf>
    <xf numFmtId="0" fontId="49" fillId="55" borderId="21" xfId="180" applyFont="1" applyFill="1" applyBorder="1" applyAlignment="1">
      <alignment horizontal="left" wrapText="1"/>
      <protection/>
    </xf>
    <xf numFmtId="0" fontId="49" fillId="55" borderId="21" xfId="180" applyFont="1" applyFill="1" applyBorder="1" applyAlignment="1">
      <alignment horizontal="center" wrapText="1"/>
      <protection/>
    </xf>
    <xf numFmtId="3" fontId="49" fillId="55" borderId="21" xfId="167" applyNumberFormat="1" applyFont="1" applyFill="1" applyBorder="1" applyAlignment="1">
      <alignment horizontal="center" wrapText="1"/>
    </xf>
    <xf numFmtId="0" fontId="5" fillId="0" borderId="0" xfId="0" applyFont="1" applyBorder="1" applyAlignment="1">
      <alignment/>
    </xf>
    <xf numFmtId="0" fontId="9" fillId="0" borderId="20" xfId="0" applyNumberFormat="1" applyFont="1" applyFill="1" applyBorder="1" applyAlignment="1" applyProtection="1">
      <alignment horizontal="justify" wrapText="1"/>
      <protection/>
    </xf>
    <xf numFmtId="0" fontId="9" fillId="0" borderId="19" xfId="0" applyNumberFormat="1" applyFont="1" applyFill="1" applyBorder="1" applyAlignment="1" applyProtection="1">
      <alignment horizontal="justify" wrapText="1"/>
      <protection/>
    </xf>
    <xf numFmtId="0" fontId="10" fillId="0" borderId="20" xfId="0" applyNumberFormat="1" applyFont="1" applyFill="1" applyBorder="1" applyAlignment="1" applyProtection="1">
      <alignment horizontal="justify" wrapText="1"/>
      <protection/>
    </xf>
    <xf numFmtId="1" fontId="9" fillId="56" borderId="20" xfId="0" applyNumberFormat="1" applyFont="1" applyFill="1" applyBorder="1" applyAlignment="1" applyProtection="1">
      <alignment horizontal="center" wrapText="1"/>
      <protection/>
    </xf>
    <xf numFmtId="6" fontId="8" fillId="56" borderId="20" xfId="0" applyNumberFormat="1" applyFont="1" applyFill="1" applyBorder="1" applyAlignment="1" applyProtection="1">
      <alignment horizontal="right" wrapText="1"/>
      <protection/>
    </xf>
    <xf numFmtId="6" fontId="27" fillId="0" borderId="20" xfId="0" applyNumberFormat="1" applyFont="1" applyFill="1" applyBorder="1" applyAlignment="1" applyProtection="1">
      <alignment/>
      <protection/>
    </xf>
    <xf numFmtId="9" fontId="27" fillId="0" borderId="26" xfId="0" applyNumberFormat="1" applyFont="1" applyFill="1" applyBorder="1" applyAlignment="1" applyProtection="1">
      <alignment/>
      <protection/>
    </xf>
    <xf numFmtId="0" fontId="9" fillId="0" borderId="19" xfId="0" applyNumberFormat="1" applyFont="1" applyFill="1" applyBorder="1" applyAlignment="1" applyProtection="1">
      <alignment horizontal="justify" vertical="center" wrapText="1"/>
      <protection/>
    </xf>
    <xf numFmtId="1" fontId="9" fillId="56" borderId="19" xfId="0" applyNumberFormat="1" applyFont="1" applyFill="1" applyBorder="1" applyAlignment="1" applyProtection="1">
      <alignment horizontal="center" wrapText="1"/>
      <protection/>
    </xf>
    <xf numFmtId="0" fontId="9" fillId="56" borderId="19" xfId="0" applyNumberFormat="1" applyFont="1" applyFill="1" applyBorder="1" applyAlignment="1" applyProtection="1">
      <alignment horizontal="right" wrapText="1"/>
      <protection/>
    </xf>
    <xf numFmtId="6" fontId="8" fillId="56" borderId="19" xfId="0" applyNumberFormat="1" applyFont="1" applyFill="1" applyBorder="1" applyAlignment="1" applyProtection="1">
      <alignment horizontal="right" wrapText="1"/>
      <protection/>
    </xf>
    <xf numFmtId="6" fontId="27" fillId="0" borderId="19" xfId="0" applyNumberFormat="1" applyFont="1" applyFill="1" applyBorder="1" applyAlignment="1" applyProtection="1">
      <alignment/>
      <protection/>
    </xf>
    <xf numFmtId="9" fontId="27" fillId="0" borderId="27" xfId="0" applyNumberFormat="1" applyFont="1" applyFill="1" applyBorder="1" applyAlignment="1" applyProtection="1">
      <alignment/>
      <protection/>
    </xf>
    <xf numFmtId="1" fontId="9" fillId="56" borderId="19" xfId="0" applyNumberFormat="1" applyFont="1" applyFill="1" applyBorder="1" applyAlignment="1" applyProtection="1">
      <alignment horizontal="right" wrapText="1"/>
      <protection/>
    </xf>
    <xf numFmtId="0" fontId="9" fillId="0" borderId="21" xfId="0" applyNumberFormat="1" applyFont="1" applyFill="1" applyBorder="1" applyAlignment="1" applyProtection="1">
      <alignment horizontal="justify" wrapText="1"/>
      <protection/>
    </xf>
    <xf numFmtId="212" fontId="8" fillId="55" borderId="38" xfId="177" applyNumberFormat="1" applyFont="1" applyFill="1" applyBorder="1">
      <alignment/>
      <protection/>
    </xf>
    <xf numFmtId="212" fontId="27" fillId="55" borderId="20" xfId="177" applyNumberFormat="1" applyFont="1" applyFill="1" applyBorder="1">
      <alignment/>
      <protection/>
    </xf>
    <xf numFmtId="9" fontId="27" fillId="55" borderId="26" xfId="177" applyNumberFormat="1" applyFont="1" applyFill="1" applyBorder="1">
      <alignment/>
      <protection/>
    </xf>
    <xf numFmtId="212" fontId="27" fillId="55" borderId="19" xfId="177" applyNumberFormat="1" applyFont="1" applyFill="1" applyBorder="1">
      <alignment/>
      <protection/>
    </xf>
    <xf numFmtId="9" fontId="27" fillId="55" borderId="27" xfId="177" applyNumberFormat="1" applyFont="1" applyFill="1" applyBorder="1">
      <alignment/>
      <protection/>
    </xf>
    <xf numFmtId="212" fontId="27" fillId="55" borderId="38" xfId="177" applyNumberFormat="1" applyFont="1" applyFill="1" applyBorder="1">
      <alignment/>
      <protection/>
    </xf>
    <xf numFmtId="9" fontId="27" fillId="55" borderId="39" xfId="177" applyNumberFormat="1" applyFont="1" applyFill="1" applyBorder="1">
      <alignment/>
      <protection/>
    </xf>
    <xf numFmtId="9" fontId="28" fillId="55" borderId="40" xfId="177" applyNumberFormat="1" applyFont="1" applyFill="1" applyBorder="1">
      <alignment/>
      <protection/>
    </xf>
    <xf numFmtId="211" fontId="0" fillId="0" borderId="0" xfId="0" applyNumberFormat="1" applyAlignment="1">
      <alignment/>
    </xf>
    <xf numFmtId="0" fontId="1" fillId="56" borderId="19" xfId="152" applyNumberFormat="1" applyFill="1" applyBorder="1" applyAlignment="1" applyProtection="1">
      <alignment horizontal="justify" wrapText="1"/>
      <protection/>
    </xf>
    <xf numFmtId="0" fontId="1" fillId="55" borderId="20" xfId="152" applyFill="1" applyBorder="1" applyAlignment="1" applyProtection="1">
      <alignment horizontal="left" wrapText="1"/>
      <protection/>
    </xf>
    <xf numFmtId="0" fontId="1" fillId="55" borderId="19" xfId="152" applyFill="1" applyBorder="1" applyAlignment="1" applyProtection="1">
      <alignment horizontal="left" wrapText="1"/>
      <protection/>
    </xf>
    <xf numFmtId="0" fontId="1" fillId="0" borderId="19" xfId="152" applyBorder="1" applyAlignment="1" applyProtection="1">
      <alignment wrapText="1"/>
      <protection/>
    </xf>
    <xf numFmtId="0" fontId="1" fillId="0" borderId="20" xfId="152" applyBorder="1" applyAlignment="1" applyProtection="1">
      <alignment horizontal="justify" wrapText="1"/>
      <protection/>
    </xf>
    <xf numFmtId="0" fontId="1" fillId="0" borderId="19" xfId="152" applyBorder="1" applyAlignment="1" applyProtection="1">
      <alignment horizontal="justify" wrapText="1"/>
      <protection/>
    </xf>
    <xf numFmtId="0" fontId="1" fillId="0" borderId="32" xfId="152" applyNumberFormat="1" applyFill="1" applyBorder="1" applyAlignment="1" applyProtection="1">
      <alignment horizontal="justify" wrapText="1"/>
      <protection/>
    </xf>
    <xf numFmtId="0" fontId="1" fillId="0" borderId="10" xfId="152" applyNumberFormat="1" applyFill="1" applyBorder="1" applyAlignment="1" applyProtection="1">
      <alignment horizontal="justify" wrapText="1"/>
      <protection/>
    </xf>
    <xf numFmtId="0" fontId="1" fillId="0" borderId="20" xfId="152" applyNumberFormat="1" applyFill="1" applyBorder="1" applyAlignment="1" applyProtection="1">
      <alignment horizontal="justify" wrapText="1"/>
      <protection/>
    </xf>
    <xf numFmtId="0" fontId="50" fillId="0" borderId="20" xfId="180" applyFont="1" applyBorder="1" applyAlignment="1">
      <alignment horizontal="justify" wrapText="1"/>
      <protection/>
    </xf>
    <xf numFmtId="0" fontId="1" fillId="56" borderId="20" xfId="152" applyNumberFormat="1" applyFill="1" applyBorder="1" applyAlignment="1" applyProtection="1">
      <alignment horizontal="justify" wrapText="1"/>
      <protection/>
    </xf>
    <xf numFmtId="0" fontId="50" fillId="0" borderId="21" xfId="180" applyFont="1" applyBorder="1" applyAlignment="1">
      <alignment horizontal="justify" wrapText="1"/>
      <protection/>
    </xf>
    <xf numFmtId="0" fontId="9" fillId="56" borderId="21" xfId="0" applyNumberFormat="1" applyFont="1" applyFill="1" applyBorder="1" applyAlignment="1" applyProtection="1">
      <alignment horizontal="justify" wrapText="1"/>
      <protection/>
    </xf>
    <xf numFmtId="3" fontId="9" fillId="56" borderId="21" xfId="0" applyNumberFormat="1" applyFont="1" applyFill="1" applyBorder="1" applyAlignment="1" applyProtection="1">
      <alignment horizontal="center" wrapText="1"/>
      <protection/>
    </xf>
    <xf numFmtId="0" fontId="9" fillId="55" borderId="32" xfId="0" applyNumberFormat="1" applyFont="1" applyFill="1" applyBorder="1" applyAlignment="1" applyProtection="1">
      <alignment horizontal="justify" wrapText="1"/>
      <protection/>
    </xf>
    <xf numFmtId="0" fontId="8" fillId="55" borderId="10" xfId="0" applyNumberFormat="1" applyFont="1" applyFill="1" applyBorder="1" applyAlignment="1" applyProtection="1">
      <alignment horizontal="justify" wrapText="1"/>
      <protection/>
    </xf>
    <xf numFmtId="0" fontId="27" fillId="0" borderId="19" xfId="177" applyFont="1" applyBorder="1" applyAlignment="1">
      <alignment horizontal="justify" wrapText="1"/>
      <protection/>
    </xf>
    <xf numFmtId="0" fontId="10" fillId="57" borderId="41" xfId="0" applyNumberFormat="1" applyFont="1" applyFill="1" applyBorder="1" applyAlignment="1" applyProtection="1">
      <alignment horizontal="center" wrapText="1"/>
      <protection/>
    </xf>
    <xf numFmtId="0" fontId="10" fillId="57" borderId="42" xfId="0" applyNumberFormat="1" applyFont="1" applyFill="1" applyBorder="1" applyAlignment="1" applyProtection="1">
      <alignment horizontal="center" wrapText="1"/>
      <protection/>
    </xf>
    <xf numFmtId="0" fontId="10" fillId="57" borderId="43" xfId="0" applyNumberFormat="1" applyFont="1" applyFill="1" applyBorder="1" applyAlignment="1" applyProtection="1">
      <alignment horizontal="center" wrapText="1"/>
      <protection/>
    </xf>
    <xf numFmtId="0" fontId="10" fillId="57" borderId="44" xfId="0" applyNumberFormat="1" applyFont="1" applyFill="1" applyBorder="1" applyAlignment="1" applyProtection="1">
      <alignment horizontal="center" wrapText="1"/>
      <protection/>
    </xf>
    <xf numFmtId="0" fontId="10" fillId="57" borderId="45" xfId="0" applyNumberFormat="1" applyFont="1" applyFill="1" applyBorder="1" applyAlignment="1" applyProtection="1">
      <alignment horizontal="center" wrapText="1"/>
      <protection/>
    </xf>
    <xf numFmtId="0" fontId="10" fillId="57" borderId="46" xfId="0" applyNumberFormat="1" applyFont="1" applyFill="1" applyBorder="1" applyAlignment="1" applyProtection="1">
      <alignment horizontal="center" wrapText="1"/>
      <protection/>
    </xf>
    <xf numFmtId="0" fontId="10" fillId="57" borderId="47" xfId="0" applyNumberFormat="1" applyFont="1" applyFill="1" applyBorder="1" applyAlignment="1" applyProtection="1">
      <alignment horizontal="center" wrapText="1"/>
      <protection/>
    </xf>
    <xf numFmtId="0" fontId="10" fillId="57" borderId="48" xfId="0" applyNumberFormat="1" applyFont="1" applyFill="1" applyBorder="1" applyAlignment="1" applyProtection="1">
      <alignment horizontal="center" wrapText="1"/>
      <protection/>
    </xf>
    <xf numFmtId="0" fontId="50" fillId="57" borderId="49" xfId="180" applyFont="1" applyFill="1" applyBorder="1" applyAlignment="1">
      <alignment horizontal="center"/>
      <protection/>
    </xf>
    <xf numFmtId="0" fontId="50" fillId="57" borderId="38" xfId="180" applyFont="1" applyFill="1" applyBorder="1" applyAlignment="1">
      <alignment horizontal="center" wrapText="1"/>
      <protection/>
    </xf>
    <xf numFmtId="0" fontId="50" fillId="57" borderId="38" xfId="180" applyFont="1" applyFill="1" applyBorder="1" applyAlignment="1">
      <alignment horizontal="center"/>
      <protection/>
    </xf>
    <xf numFmtId="0" fontId="50" fillId="57" borderId="39" xfId="180" applyFont="1" applyFill="1" applyBorder="1" applyAlignment="1">
      <alignment horizontal="center"/>
      <protection/>
    </xf>
    <xf numFmtId="0" fontId="50" fillId="57" borderId="50" xfId="180" applyFont="1" applyFill="1" applyBorder="1" applyAlignment="1">
      <alignment horizontal="center" wrapText="1"/>
      <protection/>
    </xf>
    <xf numFmtId="0" fontId="1" fillId="0" borderId="20" xfId="152" applyBorder="1" applyAlignment="1" applyProtection="1">
      <alignment/>
      <protection/>
    </xf>
    <xf numFmtId="197" fontId="8" fillId="0" borderId="21" xfId="167" applyFont="1" applyBorder="1" applyAlignment="1">
      <alignment horizontal="justify" wrapText="1"/>
    </xf>
    <xf numFmtId="0" fontId="8" fillId="0" borderId="21" xfId="177" applyFont="1" applyBorder="1" applyAlignment="1">
      <alignment/>
      <protection/>
    </xf>
    <xf numFmtId="212" fontId="0" fillId="0" borderId="0" xfId="0" applyNumberFormat="1" applyAlignment="1">
      <alignment/>
    </xf>
    <xf numFmtId="0" fontId="27" fillId="0" borderId="19" xfId="180" applyFont="1" applyBorder="1" applyAlignment="1">
      <alignment horizontal="justify" wrapText="1"/>
      <protection/>
    </xf>
    <xf numFmtId="0" fontId="10" fillId="0" borderId="19" xfId="0" applyNumberFormat="1" applyFont="1" applyFill="1" applyBorder="1" applyAlignment="1" applyProtection="1">
      <alignment horizontal="justify" wrapText="1"/>
      <protection/>
    </xf>
    <xf numFmtId="0" fontId="27" fillId="0" borderId="19" xfId="180" applyFont="1" applyFill="1" applyBorder="1" applyAlignment="1">
      <alignment wrapText="1"/>
      <protection/>
    </xf>
    <xf numFmtId="0" fontId="49" fillId="0" borderId="19" xfId="180" applyFont="1" applyFill="1" applyBorder="1">
      <alignment/>
      <protection/>
    </xf>
    <xf numFmtId="0" fontId="8" fillId="0" borderId="19" xfId="180" applyFont="1" applyFill="1" applyBorder="1" applyAlignment="1">
      <alignment wrapText="1"/>
      <protection/>
    </xf>
    <xf numFmtId="6" fontId="8" fillId="56" borderId="38" xfId="0" applyNumberFormat="1" applyFont="1" applyFill="1" applyBorder="1" applyAlignment="1" applyProtection="1">
      <alignment horizontal="right" wrapText="1"/>
      <protection/>
    </xf>
    <xf numFmtId="212" fontId="27" fillId="0" borderId="38" xfId="0" applyNumberFormat="1" applyFont="1" applyBorder="1" applyAlignment="1">
      <alignment/>
    </xf>
    <xf numFmtId="9" fontId="27" fillId="0" borderId="39" xfId="0" applyNumberFormat="1" applyFont="1" applyBorder="1" applyAlignment="1">
      <alignment/>
    </xf>
    <xf numFmtId="212" fontId="28" fillId="55" borderId="24" xfId="177" applyNumberFormat="1" applyFont="1" applyFill="1" applyBorder="1">
      <alignment/>
      <protection/>
    </xf>
    <xf numFmtId="9" fontId="27" fillId="0" borderId="40" xfId="0" applyNumberFormat="1" applyFont="1" applyBorder="1" applyAlignment="1">
      <alignment/>
    </xf>
    <xf numFmtId="211" fontId="0" fillId="0" borderId="0" xfId="0" applyNumberFormat="1" applyFont="1" applyAlignment="1">
      <alignment/>
    </xf>
    <xf numFmtId="212" fontId="0" fillId="0" borderId="0" xfId="0" applyNumberFormat="1" applyFont="1" applyFill="1" applyBorder="1" applyAlignment="1" applyProtection="1">
      <alignment/>
      <protection/>
    </xf>
    <xf numFmtId="0" fontId="51" fillId="0" borderId="0" xfId="180" applyFont="1" applyFill="1" applyBorder="1" applyAlignment="1">
      <alignment wrapText="1"/>
      <protection/>
    </xf>
    <xf numFmtId="0" fontId="50" fillId="57" borderId="23" xfId="180" applyFont="1" applyFill="1" applyBorder="1" applyAlignment="1">
      <alignment horizontal="center"/>
      <protection/>
    </xf>
    <xf numFmtId="0" fontId="50" fillId="57" borderId="51" xfId="180" applyFont="1" applyFill="1" applyBorder="1" applyAlignment="1">
      <alignment horizontal="center" wrapText="1"/>
      <protection/>
    </xf>
    <xf numFmtId="0" fontId="50" fillId="57" borderId="21" xfId="180" applyFont="1" applyFill="1" applyBorder="1" applyAlignment="1">
      <alignment horizontal="center"/>
      <protection/>
    </xf>
    <xf numFmtId="0" fontId="50" fillId="57" borderId="28" xfId="180" applyFont="1" applyFill="1" applyBorder="1" applyAlignment="1">
      <alignment horizontal="center"/>
      <protection/>
    </xf>
    <xf numFmtId="0" fontId="50" fillId="57" borderId="21" xfId="180" applyFont="1" applyFill="1" applyBorder="1" applyAlignment="1">
      <alignment horizontal="center" wrapText="1"/>
      <protection/>
    </xf>
    <xf numFmtId="0" fontId="0" fillId="0" borderId="0" xfId="0" applyFont="1" applyAlignment="1">
      <alignment/>
    </xf>
    <xf numFmtId="212" fontId="27" fillId="0" borderId="0" xfId="180" applyNumberFormat="1" applyFont="1" applyFill="1" applyBorder="1" applyAlignment="1">
      <alignment wrapText="1"/>
      <protection/>
    </xf>
    <xf numFmtId="0" fontId="50" fillId="55" borderId="49" xfId="180" applyFont="1" applyFill="1" applyBorder="1" applyAlignment="1">
      <alignment horizontal="justify" vertical="center" wrapText="1"/>
      <protection/>
    </xf>
    <xf numFmtId="0" fontId="50" fillId="0" borderId="38" xfId="180" applyFont="1" applyBorder="1" applyAlignment="1">
      <alignment horizontal="justify" vertical="center" wrapText="1"/>
      <protection/>
    </xf>
    <xf numFmtId="0" fontId="49" fillId="0" borderId="38" xfId="180" applyFont="1" applyBorder="1" applyAlignment="1">
      <alignment horizontal="left" wrapText="1"/>
      <protection/>
    </xf>
    <xf numFmtId="0" fontId="49" fillId="55" borderId="38" xfId="180" applyFont="1" applyFill="1" applyBorder="1" applyAlignment="1">
      <alignment horizontal="left" wrapText="1"/>
      <protection/>
    </xf>
    <xf numFmtId="3" fontId="49" fillId="55" borderId="38" xfId="161" applyNumberFormat="1" applyFont="1" applyFill="1" applyBorder="1" applyAlignment="1">
      <alignment horizontal="center" wrapText="1"/>
    </xf>
    <xf numFmtId="212" fontId="8" fillId="0" borderId="38" xfId="0" applyNumberFormat="1" applyFont="1" applyBorder="1" applyAlignment="1">
      <alignment/>
    </xf>
    <xf numFmtId="212" fontId="8" fillId="55" borderId="38" xfId="0" applyNumberFormat="1" applyFont="1" applyFill="1" applyBorder="1" applyAlignment="1">
      <alignment/>
    </xf>
    <xf numFmtId="0" fontId="27" fillId="55" borderId="19" xfId="177" applyFont="1" applyFill="1" applyBorder="1" applyAlignment="1">
      <alignment horizontal="justify" vertical="center" wrapText="1"/>
      <protection/>
    </xf>
    <xf numFmtId="0" fontId="8" fillId="55" borderId="19" xfId="0" applyFont="1" applyFill="1" applyBorder="1" applyAlignment="1">
      <alignment horizontal="center"/>
    </xf>
    <xf numFmtId="212" fontId="8" fillId="55" borderId="10" xfId="0" applyNumberFormat="1" applyFont="1" applyFill="1" applyBorder="1" applyAlignment="1" applyProtection="1">
      <alignment horizontal="right" wrapText="1"/>
      <protection/>
    </xf>
    <xf numFmtId="0" fontId="11" fillId="55" borderId="52" xfId="0" applyNumberFormat="1" applyFont="1" applyFill="1" applyBorder="1" applyAlignment="1" applyProtection="1">
      <alignment horizontal="justify" wrapText="1"/>
      <protection/>
    </xf>
    <xf numFmtId="0" fontId="8" fillId="55" borderId="19" xfId="0" applyFont="1" applyFill="1" applyBorder="1" applyAlignment="1">
      <alignment horizontal="right"/>
    </xf>
    <xf numFmtId="0" fontId="52" fillId="58" borderId="53" xfId="180" applyFont="1" applyFill="1" applyBorder="1" applyAlignment="1">
      <alignment horizontal="center" wrapText="1"/>
      <protection/>
    </xf>
    <xf numFmtId="0" fontId="52" fillId="58" borderId="54" xfId="180" applyFont="1" applyFill="1" applyBorder="1" applyAlignment="1">
      <alignment horizontal="center" wrapText="1"/>
      <protection/>
    </xf>
    <xf numFmtId="0" fontId="52" fillId="58" borderId="55" xfId="180" applyFont="1" applyFill="1" applyBorder="1" applyAlignment="1">
      <alignment horizontal="center" wrapText="1"/>
      <protection/>
    </xf>
    <xf numFmtId="0" fontId="32" fillId="0" borderId="22" xfId="180" applyFont="1" applyBorder="1" applyAlignment="1">
      <alignment horizontal="left"/>
      <protection/>
    </xf>
    <xf numFmtId="0" fontId="32" fillId="0" borderId="19" xfId="180" applyFont="1" applyBorder="1" applyAlignment="1">
      <alignment horizontal="left"/>
      <protection/>
    </xf>
    <xf numFmtId="0" fontId="32" fillId="0" borderId="27" xfId="180" applyFont="1" applyBorder="1" applyAlignment="1">
      <alignment horizontal="left"/>
      <protection/>
    </xf>
    <xf numFmtId="0" fontId="32" fillId="0" borderId="22" xfId="180" applyFont="1" applyBorder="1" applyAlignment="1">
      <alignment horizontal="left" wrapText="1"/>
      <protection/>
    </xf>
    <xf numFmtId="0" fontId="32" fillId="0" borderId="19" xfId="180" applyFont="1" applyBorder="1" applyAlignment="1">
      <alignment horizontal="left" wrapText="1"/>
      <protection/>
    </xf>
    <xf numFmtId="0" fontId="32" fillId="0" borderId="27" xfId="180" applyFont="1" applyBorder="1" applyAlignment="1">
      <alignment horizontal="left" wrapText="1"/>
      <protection/>
    </xf>
    <xf numFmtId="0" fontId="27" fillId="57" borderId="20" xfId="177" applyFont="1" applyFill="1" applyBorder="1" applyAlignment="1">
      <alignment horizontal="center" wrapText="1"/>
      <protection/>
    </xf>
    <xf numFmtId="0" fontId="27" fillId="57" borderId="38" xfId="177" applyFont="1" applyFill="1" applyBorder="1" applyAlignment="1">
      <alignment horizontal="center"/>
      <protection/>
    </xf>
    <xf numFmtId="0" fontId="32" fillId="0" borderId="56" xfId="180" applyFont="1" applyBorder="1" applyAlignment="1">
      <alignment horizontal="left" vertical="top" wrapText="1"/>
      <protection/>
    </xf>
    <xf numFmtId="0" fontId="32" fillId="0" borderId="57" xfId="180" applyFont="1" applyBorder="1" applyAlignment="1">
      <alignment horizontal="left" vertical="top" wrapText="1"/>
      <protection/>
    </xf>
    <xf numFmtId="0" fontId="32" fillId="0" borderId="58" xfId="180" applyFont="1" applyBorder="1" applyAlignment="1">
      <alignment horizontal="left" vertical="top" wrapText="1"/>
      <protection/>
    </xf>
    <xf numFmtId="0" fontId="28" fillId="59" borderId="59" xfId="177" applyFont="1" applyFill="1" applyBorder="1" applyAlignment="1">
      <alignment horizontal="center"/>
      <protection/>
    </xf>
    <xf numFmtId="0" fontId="28" fillId="59" borderId="60" xfId="177" applyFont="1" applyFill="1" applyBorder="1" applyAlignment="1">
      <alignment horizontal="center"/>
      <protection/>
    </xf>
    <xf numFmtId="0" fontId="28" fillId="59" borderId="61" xfId="177" applyFont="1" applyFill="1" applyBorder="1" applyAlignment="1">
      <alignment horizontal="center"/>
      <protection/>
    </xf>
    <xf numFmtId="0" fontId="50" fillId="0" borderId="22" xfId="180" applyFont="1" applyBorder="1" applyAlignment="1">
      <alignment horizontal="justify" vertical="center" wrapText="1"/>
      <protection/>
    </xf>
    <xf numFmtId="0" fontId="8" fillId="0" borderId="23" xfId="177" applyFont="1" applyBorder="1" applyAlignment="1">
      <alignment horizontal="justify" vertical="center" wrapText="1"/>
      <protection/>
    </xf>
    <xf numFmtId="0" fontId="50" fillId="57" borderId="20" xfId="180" applyFont="1" applyFill="1" applyBorder="1" applyAlignment="1">
      <alignment horizontal="center"/>
      <protection/>
    </xf>
    <xf numFmtId="0" fontId="50" fillId="57" borderId="38" xfId="180" applyFont="1" applyFill="1" applyBorder="1" applyAlignment="1">
      <alignment horizontal="center"/>
      <protection/>
    </xf>
    <xf numFmtId="0" fontId="50" fillId="57" borderId="62" xfId="180" applyFont="1" applyFill="1" applyBorder="1" applyAlignment="1">
      <alignment horizontal="center"/>
      <protection/>
    </xf>
    <xf numFmtId="0" fontId="50" fillId="57" borderId="63" xfId="180" applyFont="1" applyFill="1" applyBorder="1" applyAlignment="1">
      <alignment horizontal="center"/>
      <protection/>
    </xf>
    <xf numFmtId="0" fontId="50" fillId="0" borderId="20" xfId="180" applyFont="1" applyBorder="1" applyAlignment="1">
      <alignment horizontal="justify" wrapText="1"/>
      <protection/>
    </xf>
    <xf numFmtId="0" fontId="27" fillId="0" borderId="19" xfId="177" applyFont="1" applyBorder="1" applyAlignment="1">
      <alignment horizontal="justify" wrapText="1"/>
      <protection/>
    </xf>
    <xf numFmtId="0" fontId="27" fillId="57" borderId="64" xfId="0" applyFont="1" applyFill="1" applyBorder="1" applyAlignment="1">
      <alignment horizontal="center"/>
    </xf>
    <xf numFmtId="0" fontId="27" fillId="57" borderId="20" xfId="0" applyFont="1" applyFill="1" applyBorder="1" applyAlignment="1">
      <alignment horizontal="center"/>
    </xf>
    <xf numFmtId="0" fontId="50" fillId="57" borderId="65" xfId="180" applyFont="1" applyFill="1" applyBorder="1" applyAlignment="1">
      <alignment horizontal="center"/>
      <protection/>
    </xf>
    <xf numFmtId="0" fontId="50" fillId="57" borderId="26" xfId="180" applyFont="1" applyFill="1" applyBorder="1" applyAlignment="1">
      <alignment horizontal="center"/>
      <protection/>
    </xf>
    <xf numFmtId="0" fontId="50" fillId="55" borderId="65" xfId="180" applyFont="1" applyFill="1" applyBorder="1" applyAlignment="1">
      <alignment horizontal="justify" vertical="center"/>
      <protection/>
    </xf>
    <xf numFmtId="0" fontId="50" fillId="55" borderId="22" xfId="180" applyFont="1" applyFill="1" applyBorder="1" applyAlignment="1">
      <alignment horizontal="justify" vertical="center"/>
      <protection/>
    </xf>
    <xf numFmtId="0" fontId="32" fillId="0" borderId="65" xfId="180" applyFont="1" applyBorder="1" applyAlignment="1">
      <alignment horizontal="left"/>
      <protection/>
    </xf>
    <xf numFmtId="0" fontId="32" fillId="0" borderId="20" xfId="180" applyFont="1" applyBorder="1" applyAlignment="1">
      <alignment horizontal="left"/>
      <protection/>
    </xf>
    <xf numFmtId="0" fontId="32" fillId="0" borderId="26" xfId="180" applyFont="1" applyBorder="1" applyAlignment="1">
      <alignment horizontal="left"/>
      <protection/>
    </xf>
    <xf numFmtId="0" fontId="27" fillId="57" borderId="26" xfId="177" applyFont="1" applyFill="1" applyBorder="1" applyAlignment="1">
      <alignment horizontal="center" wrapText="1"/>
      <protection/>
    </xf>
    <xf numFmtId="0" fontId="27" fillId="57" borderId="39" xfId="177" applyFont="1" applyFill="1" applyBorder="1" applyAlignment="1">
      <alignment horizontal="center"/>
      <protection/>
    </xf>
    <xf numFmtId="0" fontId="50" fillId="57" borderId="49" xfId="180" applyFont="1" applyFill="1" applyBorder="1" applyAlignment="1">
      <alignment horizontal="center"/>
      <protection/>
    </xf>
    <xf numFmtId="0" fontId="50" fillId="55" borderId="23" xfId="180" applyFont="1" applyFill="1" applyBorder="1" applyAlignment="1">
      <alignment horizontal="justify" vertical="center"/>
      <protection/>
    </xf>
    <xf numFmtId="0" fontId="32" fillId="0" borderId="66" xfId="180" applyFont="1" applyBorder="1" applyAlignment="1">
      <alignment horizontal="left" vertical="top" wrapText="1"/>
      <protection/>
    </xf>
    <xf numFmtId="0" fontId="32" fillId="0" borderId="67" xfId="180" applyFont="1" applyBorder="1" applyAlignment="1">
      <alignment horizontal="left" vertical="top" wrapText="1"/>
      <protection/>
    </xf>
    <xf numFmtId="0" fontId="32" fillId="0" borderId="68" xfId="180" applyFont="1" applyBorder="1" applyAlignment="1">
      <alignment horizontal="left" vertical="top" wrapText="1"/>
      <protection/>
    </xf>
    <xf numFmtId="0" fontId="50" fillId="57" borderId="69" xfId="180" applyFont="1" applyFill="1" applyBorder="1" applyAlignment="1">
      <alignment horizontal="center"/>
      <protection/>
    </xf>
    <xf numFmtId="0" fontId="50" fillId="57" borderId="70" xfId="180" applyFont="1" applyFill="1" applyBorder="1" applyAlignment="1">
      <alignment horizontal="center"/>
      <protection/>
    </xf>
    <xf numFmtId="0" fontId="50" fillId="57" borderId="71" xfId="180" applyFont="1" applyFill="1" applyBorder="1" applyAlignment="1">
      <alignment horizontal="center"/>
      <protection/>
    </xf>
    <xf numFmtId="0" fontId="27" fillId="57" borderId="72" xfId="0" applyFont="1" applyFill="1" applyBorder="1" applyAlignment="1">
      <alignment horizontal="center"/>
    </xf>
    <xf numFmtId="0" fontId="27" fillId="57" borderId="73" xfId="0" applyFont="1" applyFill="1" applyBorder="1" applyAlignment="1">
      <alignment horizontal="center"/>
    </xf>
    <xf numFmtId="0" fontId="27" fillId="57" borderId="74" xfId="177" applyFont="1" applyFill="1" applyBorder="1" applyAlignment="1">
      <alignment horizontal="center" wrapText="1"/>
      <protection/>
    </xf>
    <xf numFmtId="0" fontId="27" fillId="57" borderId="73" xfId="177" applyFont="1" applyFill="1" applyBorder="1" applyAlignment="1">
      <alignment horizontal="center" wrapText="1"/>
      <protection/>
    </xf>
    <xf numFmtId="0" fontId="50" fillId="55" borderId="65" xfId="180" applyFont="1" applyFill="1" applyBorder="1" applyAlignment="1">
      <alignment horizontal="justify" vertical="center" wrapText="1"/>
      <protection/>
    </xf>
    <xf numFmtId="0" fontId="50" fillId="55" borderId="22" xfId="180" applyFont="1" applyFill="1" applyBorder="1" applyAlignment="1">
      <alignment horizontal="justify" vertical="center" wrapText="1"/>
      <protection/>
    </xf>
    <xf numFmtId="0" fontId="50" fillId="0" borderId="19" xfId="180" applyFont="1" applyBorder="1" applyAlignment="1">
      <alignment horizontal="justify" vertical="center" wrapText="1"/>
      <protection/>
    </xf>
    <xf numFmtId="0" fontId="50" fillId="57" borderId="73" xfId="180" applyFont="1" applyFill="1" applyBorder="1" applyAlignment="1">
      <alignment horizontal="center"/>
      <protection/>
    </xf>
    <xf numFmtId="0" fontId="50" fillId="0" borderId="65" xfId="180" applyFont="1" applyBorder="1" applyAlignment="1">
      <alignment horizontal="left" wrapText="1"/>
      <protection/>
    </xf>
    <xf numFmtId="0" fontId="50" fillId="0" borderId="22" xfId="180" applyFont="1" applyBorder="1" applyAlignment="1">
      <alignment horizontal="left" wrapText="1"/>
      <protection/>
    </xf>
    <xf numFmtId="0" fontId="50" fillId="57" borderId="75" xfId="180" applyFont="1" applyFill="1" applyBorder="1" applyAlignment="1">
      <alignment horizontal="center"/>
      <protection/>
    </xf>
    <xf numFmtId="0" fontId="50" fillId="57" borderId="76" xfId="180" applyFont="1" applyFill="1" applyBorder="1" applyAlignment="1">
      <alignment horizontal="center"/>
      <protection/>
    </xf>
    <xf numFmtId="0" fontId="50" fillId="57" borderId="74" xfId="180" applyFont="1" applyFill="1" applyBorder="1" applyAlignment="1">
      <alignment horizontal="center"/>
      <protection/>
    </xf>
    <xf numFmtId="0" fontId="50" fillId="57" borderId="77" xfId="180" applyFont="1" applyFill="1" applyBorder="1" applyAlignment="1">
      <alignment horizontal="center"/>
      <protection/>
    </xf>
    <xf numFmtId="0" fontId="27" fillId="0" borderId="22" xfId="180" applyFont="1" applyBorder="1" applyAlignment="1">
      <alignment horizontal="justify" vertical="center" wrapText="1"/>
      <protection/>
    </xf>
    <xf numFmtId="0" fontId="27" fillId="0" borderId="23" xfId="180" applyFont="1" applyBorder="1" applyAlignment="1">
      <alignment horizontal="justify" vertical="center" wrapText="1"/>
      <protection/>
    </xf>
    <xf numFmtId="0" fontId="50" fillId="57" borderId="78" xfId="180" applyFont="1" applyFill="1" applyBorder="1" applyAlignment="1">
      <alignment horizontal="center"/>
      <protection/>
    </xf>
    <xf numFmtId="0" fontId="27" fillId="57" borderId="62" xfId="0" applyFont="1" applyFill="1" applyBorder="1" applyAlignment="1">
      <alignment horizontal="center"/>
    </xf>
    <xf numFmtId="0" fontId="27" fillId="57" borderId="79" xfId="0" applyFont="1" applyFill="1" applyBorder="1" applyAlignment="1">
      <alignment horizontal="center"/>
    </xf>
    <xf numFmtId="0" fontId="50" fillId="57" borderId="80" xfId="180" applyFont="1" applyFill="1" applyBorder="1" applyAlignment="1">
      <alignment horizontal="center"/>
      <protection/>
    </xf>
    <xf numFmtId="0" fontId="50" fillId="57" borderId="59" xfId="180" applyFont="1" applyFill="1" applyBorder="1" applyAlignment="1">
      <alignment horizontal="center"/>
      <protection/>
    </xf>
    <xf numFmtId="0" fontId="27" fillId="57" borderId="81" xfId="177" applyFont="1" applyFill="1" applyBorder="1" applyAlignment="1">
      <alignment horizontal="center" wrapText="1"/>
      <protection/>
    </xf>
    <xf numFmtId="0" fontId="27" fillId="57" borderId="30" xfId="177" applyFont="1" applyFill="1" applyBorder="1" applyAlignment="1">
      <alignment horizontal="center" wrapText="1"/>
      <protection/>
    </xf>
    <xf numFmtId="0" fontId="27" fillId="57" borderId="28" xfId="177" applyFont="1" applyFill="1" applyBorder="1" applyAlignment="1">
      <alignment horizontal="center"/>
      <protection/>
    </xf>
    <xf numFmtId="0" fontId="50" fillId="57" borderId="82" xfId="180" applyFont="1" applyFill="1" applyBorder="1" applyAlignment="1">
      <alignment horizontal="center"/>
      <protection/>
    </xf>
    <xf numFmtId="0" fontId="50" fillId="57" borderId="29" xfId="180" applyFont="1" applyFill="1" applyBorder="1" applyAlignment="1">
      <alignment horizontal="center"/>
      <protection/>
    </xf>
    <xf numFmtId="0" fontId="50" fillId="57" borderId="81" xfId="180" applyFont="1" applyFill="1" applyBorder="1" applyAlignment="1">
      <alignment horizontal="center"/>
      <protection/>
    </xf>
    <xf numFmtId="0" fontId="50" fillId="57" borderId="30" xfId="180" applyFont="1" applyFill="1" applyBorder="1" applyAlignment="1">
      <alignment horizontal="center"/>
      <protection/>
    </xf>
    <xf numFmtId="0" fontId="50" fillId="0" borderId="65" xfId="180" applyFont="1" applyBorder="1" applyAlignment="1">
      <alignment horizontal="justify" vertical="center" wrapText="1"/>
      <protection/>
    </xf>
    <xf numFmtId="0" fontId="50" fillId="57" borderId="83" xfId="180" applyFont="1" applyFill="1" applyBorder="1" applyAlignment="1">
      <alignment horizontal="center"/>
      <protection/>
    </xf>
    <xf numFmtId="0" fontId="50" fillId="57" borderId="79" xfId="180" applyFont="1" applyFill="1" applyBorder="1" applyAlignment="1">
      <alignment horizontal="center"/>
      <protection/>
    </xf>
    <xf numFmtId="0" fontId="50" fillId="57" borderId="84" xfId="180" applyFont="1" applyFill="1" applyBorder="1" applyAlignment="1">
      <alignment horizontal="center"/>
      <protection/>
    </xf>
    <xf numFmtId="0" fontId="27" fillId="57" borderId="83" xfId="0" applyFont="1" applyFill="1" applyBorder="1" applyAlignment="1">
      <alignment horizontal="center"/>
    </xf>
    <xf numFmtId="0" fontId="50" fillId="0" borderId="22" xfId="180" applyFont="1" applyBorder="1" applyAlignment="1">
      <alignment horizontal="left" vertical="center" wrapText="1"/>
      <protection/>
    </xf>
    <xf numFmtId="0" fontId="50" fillId="0" borderId="23" xfId="180" applyFont="1" applyBorder="1" applyAlignment="1">
      <alignment horizontal="left" vertical="center" wrapText="1"/>
      <protection/>
    </xf>
    <xf numFmtId="0" fontId="52" fillId="58" borderId="80" xfId="180" applyFont="1" applyFill="1" applyBorder="1" applyAlignment="1">
      <alignment horizontal="center" wrapText="1"/>
      <protection/>
    </xf>
    <xf numFmtId="0" fontId="52" fillId="58" borderId="85" xfId="180" applyFont="1" applyFill="1" applyBorder="1" applyAlignment="1">
      <alignment horizontal="center" wrapText="1"/>
      <protection/>
    </xf>
    <xf numFmtId="0" fontId="52" fillId="58" borderId="86" xfId="180" applyFont="1" applyFill="1" applyBorder="1" applyAlignment="1">
      <alignment horizontal="center" wrapText="1"/>
      <protection/>
    </xf>
    <xf numFmtId="0" fontId="50" fillId="0" borderId="82" xfId="180" applyFont="1" applyBorder="1" applyAlignment="1">
      <alignment horizontal="justify" vertical="center" wrapText="1"/>
      <protection/>
    </xf>
    <xf numFmtId="0" fontId="50" fillId="0" borderId="69" xfId="180" applyFont="1" applyBorder="1" applyAlignment="1">
      <alignment horizontal="justify" vertical="center" wrapText="1"/>
      <protection/>
    </xf>
    <xf numFmtId="0" fontId="50" fillId="0" borderId="78" xfId="180" applyFont="1" applyBorder="1" applyAlignment="1">
      <alignment horizontal="justify" vertical="center" wrapText="1"/>
      <protection/>
    </xf>
    <xf numFmtId="0" fontId="28" fillId="60" borderId="87" xfId="0" applyNumberFormat="1" applyFont="1" applyFill="1" applyBorder="1" applyAlignment="1" applyProtection="1">
      <alignment horizontal="center"/>
      <protection/>
    </xf>
    <xf numFmtId="0" fontId="28" fillId="60" borderId="88" xfId="0" applyNumberFormat="1" applyFont="1" applyFill="1" applyBorder="1" applyAlignment="1" applyProtection="1">
      <alignment horizontal="center"/>
      <protection/>
    </xf>
    <xf numFmtId="0" fontId="10" fillId="57" borderId="89" xfId="0" applyNumberFormat="1" applyFont="1" applyFill="1" applyBorder="1" applyAlignment="1" applyProtection="1">
      <alignment horizontal="center" wrapText="1"/>
      <protection/>
    </xf>
    <xf numFmtId="0" fontId="10" fillId="57" borderId="90" xfId="0" applyNumberFormat="1" applyFont="1" applyFill="1" applyBorder="1" applyAlignment="1" applyProtection="1">
      <alignment horizontal="center" wrapText="1"/>
      <protection/>
    </xf>
    <xf numFmtId="0" fontId="10" fillId="57" borderId="91" xfId="0" applyNumberFormat="1" applyFont="1" applyFill="1" applyBorder="1" applyAlignment="1" applyProtection="1">
      <alignment horizontal="center" wrapText="1"/>
      <protection/>
    </xf>
    <xf numFmtId="0" fontId="10" fillId="57" borderId="87" xfId="0" applyNumberFormat="1" applyFont="1" applyFill="1" applyBorder="1" applyAlignment="1" applyProtection="1">
      <alignment horizontal="center" wrapText="1"/>
      <protection/>
    </xf>
    <xf numFmtId="0" fontId="10" fillId="57" borderId="88" xfId="0" applyNumberFormat="1" applyFont="1" applyFill="1" applyBorder="1" applyAlignment="1" applyProtection="1">
      <alignment horizontal="center" wrapText="1"/>
      <protection/>
    </xf>
    <xf numFmtId="0" fontId="10" fillId="0" borderId="41" xfId="0" applyNumberFormat="1" applyFont="1" applyFill="1" applyBorder="1" applyAlignment="1" applyProtection="1">
      <alignment horizontal="justify" vertical="center" wrapText="1"/>
      <protection/>
    </xf>
    <xf numFmtId="0" fontId="10" fillId="0" borderId="89" xfId="0" applyNumberFormat="1" applyFont="1" applyFill="1" applyBorder="1" applyAlignment="1" applyProtection="1">
      <alignment horizontal="justify" vertical="center" wrapText="1"/>
      <protection/>
    </xf>
    <xf numFmtId="0" fontId="6" fillId="0" borderId="65"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horizontal="left" wrapText="1"/>
      <protection/>
    </xf>
    <xf numFmtId="0" fontId="6" fillId="0" borderId="26"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wrapText="1"/>
      <protection/>
    </xf>
    <xf numFmtId="0" fontId="6" fillId="0" borderId="19" xfId="0" applyNumberFormat="1" applyFont="1" applyFill="1" applyBorder="1" applyAlignment="1" applyProtection="1">
      <alignment horizontal="left" wrapText="1"/>
      <protection/>
    </xf>
    <xf numFmtId="0" fontId="6" fillId="0" borderId="27" xfId="0" applyNumberFormat="1" applyFont="1" applyFill="1" applyBorder="1" applyAlignment="1" applyProtection="1">
      <alignment horizontal="left" wrapText="1"/>
      <protection/>
    </xf>
    <xf numFmtId="0" fontId="6" fillId="0" borderId="49" xfId="0" applyNumberFormat="1" applyFont="1" applyFill="1" applyBorder="1" applyAlignment="1" applyProtection="1">
      <alignment horizontal="left" wrapText="1"/>
      <protection/>
    </xf>
    <xf numFmtId="0" fontId="6" fillId="0" borderId="38" xfId="0" applyNumberFormat="1" applyFont="1" applyFill="1" applyBorder="1" applyAlignment="1" applyProtection="1">
      <alignment horizontal="left" wrapText="1"/>
      <protection/>
    </xf>
    <xf numFmtId="0" fontId="6" fillId="0" borderId="39" xfId="0" applyNumberFormat="1" applyFont="1" applyFill="1" applyBorder="1" applyAlignment="1" applyProtection="1">
      <alignment horizontal="left" wrapText="1"/>
      <protection/>
    </xf>
    <xf numFmtId="0" fontId="10" fillId="0" borderId="42" xfId="0" applyNumberFormat="1" applyFont="1" applyFill="1" applyBorder="1" applyAlignment="1" applyProtection="1">
      <alignment horizontal="left" vertical="center" wrapText="1"/>
      <protection/>
    </xf>
    <xf numFmtId="0" fontId="10" fillId="0" borderId="90" xfId="0" applyNumberFormat="1" applyFont="1" applyFill="1" applyBorder="1" applyAlignment="1" applyProtection="1">
      <alignment horizontal="left" vertical="center" wrapText="1"/>
      <protection/>
    </xf>
    <xf numFmtId="0" fontId="10" fillId="0" borderId="92" xfId="0" applyNumberFormat="1" applyFont="1" applyFill="1" applyBorder="1" applyAlignment="1" applyProtection="1">
      <alignment horizontal="left" vertical="center" wrapText="1"/>
      <protection/>
    </xf>
    <xf numFmtId="0" fontId="27" fillId="57" borderId="93" xfId="0" applyNumberFormat="1" applyFont="1" applyFill="1" applyBorder="1" applyAlignment="1" applyProtection="1">
      <alignment horizontal="center"/>
      <protection/>
    </xf>
    <xf numFmtId="0" fontId="27" fillId="57" borderId="94" xfId="0" applyNumberFormat="1" applyFont="1" applyFill="1" applyBorder="1" applyAlignment="1" applyProtection="1">
      <alignment horizontal="center"/>
      <protection/>
    </xf>
    <xf numFmtId="0" fontId="27" fillId="57" borderId="95" xfId="0" applyNumberFormat="1" applyFont="1" applyFill="1" applyBorder="1" applyAlignment="1" applyProtection="1">
      <alignment horizontal="center"/>
      <protection/>
    </xf>
    <xf numFmtId="0" fontId="27" fillId="57" borderId="90" xfId="0" applyNumberFormat="1" applyFont="1" applyFill="1" applyBorder="1" applyAlignment="1" applyProtection="1">
      <alignment horizontal="center" wrapText="1"/>
      <protection/>
    </xf>
    <xf numFmtId="0" fontId="27" fillId="57" borderId="96" xfId="0" applyNumberFormat="1" applyFont="1" applyFill="1" applyBorder="1" applyAlignment="1" applyProtection="1">
      <alignment horizontal="center" wrapText="1"/>
      <protection/>
    </xf>
    <xf numFmtId="0" fontId="27" fillId="57" borderId="97" xfId="0" applyNumberFormat="1" applyFont="1" applyFill="1" applyBorder="1" applyAlignment="1" applyProtection="1">
      <alignment horizontal="center"/>
      <protection/>
    </xf>
    <xf numFmtId="0" fontId="6" fillId="0" borderId="83" xfId="0" applyNumberFormat="1" applyFont="1" applyFill="1" applyBorder="1" applyAlignment="1" applyProtection="1">
      <alignment horizontal="left" wrapText="1"/>
      <protection/>
    </xf>
    <xf numFmtId="0" fontId="6" fillId="0" borderId="79" xfId="0" applyNumberFormat="1" applyFont="1" applyFill="1" applyBorder="1" applyAlignment="1" applyProtection="1">
      <alignment horizontal="left" wrapText="1"/>
      <protection/>
    </xf>
    <xf numFmtId="0" fontId="6" fillId="0" borderId="84" xfId="0" applyNumberFormat="1" applyFont="1" applyFill="1" applyBorder="1" applyAlignment="1" applyProtection="1">
      <alignment horizontal="left" wrapText="1"/>
      <protection/>
    </xf>
    <xf numFmtId="0" fontId="6" fillId="0" borderId="66" xfId="0" applyNumberFormat="1" applyFont="1" applyFill="1" applyBorder="1" applyAlignment="1" applyProtection="1">
      <alignment horizontal="left" wrapText="1"/>
      <protection/>
    </xf>
    <xf numFmtId="0" fontId="6" fillId="0" borderId="67" xfId="0" applyNumberFormat="1" applyFont="1" applyFill="1" applyBorder="1" applyAlignment="1" applyProtection="1">
      <alignment horizontal="left" wrapText="1"/>
      <protection/>
    </xf>
    <xf numFmtId="0" fontId="6" fillId="0" borderId="68" xfId="0" applyNumberFormat="1" applyFont="1" applyFill="1" applyBorder="1" applyAlignment="1" applyProtection="1">
      <alignment horizontal="left" wrapText="1"/>
      <protection/>
    </xf>
    <xf numFmtId="0" fontId="10" fillId="0" borderId="65" xfId="0" applyNumberFormat="1" applyFont="1" applyFill="1" applyBorder="1" applyAlignment="1" applyProtection="1">
      <alignment horizontal="justify" vertical="center" wrapText="1"/>
      <protection/>
    </xf>
    <xf numFmtId="0" fontId="10" fillId="0" borderId="22" xfId="0" applyNumberFormat="1" applyFont="1" applyFill="1" applyBorder="1" applyAlignment="1" applyProtection="1">
      <alignment horizontal="justify" vertical="center" wrapText="1"/>
      <protection/>
    </xf>
    <xf numFmtId="0" fontId="27" fillId="57" borderId="87" xfId="0" applyNumberFormat="1" applyFont="1" applyFill="1" applyBorder="1" applyAlignment="1" applyProtection="1">
      <alignment horizontal="center"/>
      <protection/>
    </xf>
    <xf numFmtId="0" fontId="27" fillId="57" borderId="88" xfId="0" applyNumberFormat="1" applyFont="1" applyFill="1" applyBorder="1" applyAlignment="1" applyProtection="1">
      <alignment horizontal="center"/>
      <protection/>
    </xf>
    <xf numFmtId="0" fontId="27" fillId="57" borderId="98" xfId="0" applyNumberFormat="1" applyFont="1" applyFill="1" applyBorder="1" applyAlignment="1" applyProtection="1">
      <alignment horizontal="center"/>
      <protection/>
    </xf>
    <xf numFmtId="0" fontId="28" fillId="60" borderId="99" xfId="0" applyNumberFormat="1" applyFont="1" applyFill="1" applyBorder="1" applyAlignment="1" applyProtection="1">
      <alignment horizontal="center"/>
      <protection/>
    </xf>
    <xf numFmtId="0" fontId="10" fillId="57" borderId="99"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justify" wrapText="1"/>
      <protection/>
    </xf>
  </cellXfs>
  <cellStyles count="214">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álculo" xfId="91"/>
    <cellStyle name="Cálculo 2" xfId="92"/>
    <cellStyle name="Cálculo 3" xfId="93"/>
    <cellStyle name="Cálculo 4" xfId="94"/>
    <cellStyle name="Celda de comprobación" xfId="95"/>
    <cellStyle name="Celda de comprobación 2" xfId="96"/>
    <cellStyle name="Celda de comprobación 3" xfId="97"/>
    <cellStyle name="Celda de comprobación 4" xfId="98"/>
    <cellStyle name="Celda vinculada" xfId="99"/>
    <cellStyle name="Celda vinculada 2" xfId="100"/>
    <cellStyle name="Celda vinculada 3" xfId="101"/>
    <cellStyle name="Celda vinculada 4" xfId="102"/>
    <cellStyle name="Encabezado 4" xfId="103"/>
    <cellStyle name="Encabezado 4 2" xfId="104"/>
    <cellStyle name="Encabezado 4 3" xfId="105"/>
    <cellStyle name="Encabezado 4 4" xfId="106"/>
    <cellStyle name="Énfasis1" xfId="107"/>
    <cellStyle name="Énfasis1 2" xfId="108"/>
    <cellStyle name="Énfasis1 3" xfId="109"/>
    <cellStyle name="Énfasis1 4" xfId="110"/>
    <cellStyle name="Énfasis2" xfId="111"/>
    <cellStyle name="Énfasis2 2" xfId="112"/>
    <cellStyle name="Énfasis2 3" xfId="113"/>
    <cellStyle name="Énfasis2 4" xfId="114"/>
    <cellStyle name="Énfasis3" xfId="115"/>
    <cellStyle name="Énfasis3 2" xfId="116"/>
    <cellStyle name="Énfasis3 3" xfId="117"/>
    <cellStyle name="Énfasis3 4" xfId="118"/>
    <cellStyle name="Énfasis4" xfId="119"/>
    <cellStyle name="Énfasis4 2" xfId="120"/>
    <cellStyle name="Énfasis4 3" xfId="121"/>
    <cellStyle name="Énfasis4 4" xfId="122"/>
    <cellStyle name="Énfasis5" xfId="123"/>
    <cellStyle name="Énfasis5 2" xfId="124"/>
    <cellStyle name="Énfasis5 3" xfId="125"/>
    <cellStyle name="Énfasis5 4" xfId="126"/>
    <cellStyle name="Énfasis6" xfId="127"/>
    <cellStyle name="Énfasis6 2" xfId="128"/>
    <cellStyle name="Énfasis6 3" xfId="129"/>
    <cellStyle name="Énfasis6 4" xfId="130"/>
    <cellStyle name="Entrada" xfId="131"/>
    <cellStyle name="Entrada 2" xfId="132"/>
    <cellStyle name="Entrada 3" xfId="133"/>
    <cellStyle name="Entrada 4" xfId="134"/>
    <cellStyle name="Euro" xfId="135"/>
    <cellStyle name="Euro 2" xfId="136"/>
    <cellStyle name="Euro 2 2" xfId="137"/>
    <cellStyle name="Euro 2 3" xfId="138"/>
    <cellStyle name="Euro 3" xfId="139"/>
    <cellStyle name="Euro 3 2" xfId="140"/>
    <cellStyle name="Euro 3 3" xfId="141"/>
    <cellStyle name="Euro 3 4" xfId="142"/>
    <cellStyle name="Euro 3 4 2" xfId="143"/>
    <cellStyle name="Euro 3 5" xfId="144"/>
    <cellStyle name="Euro 4" xfId="145"/>
    <cellStyle name="Euro 4 2" xfId="146"/>
    <cellStyle name="Euro 4 3" xfId="147"/>
    <cellStyle name="Euro 4 4" xfId="148"/>
    <cellStyle name="Euro 4 4 2" xfId="149"/>
    <cellStyle name="Euro 5" xfId="150"/>
    <cellStyle name="Euro 5 2" xfId="151"/>
    <cellStyle name="Hyperlink" xfId="152"/>
    <cellStyle name="Hipervínculo 2" xfId="153"/>
    <cellStyle name="Followed Hyperlink" xfId="154"/>
    <cellStyle name="Incorrecto" xfId="155"/>
    <cellStyle name="Incorrecto 2" xfId="156"/>
    <cellStyle name="Incorrecto 3" xfId="157"/>
    <cellStyle name="Incorrecto 4" xfId="158"/>
    <cellStyle name="Comma" xfId="159"/>
    <cellStyle name="Comma [0]" xfId="160"/>
    <cellStyle name="Millares 2" xfId="161"/>
    <cellStyle name="Millares 2 2" xfId="162"/>
    <cellStyle name="Millares 2 3" xfId="163"/>
    <cellStyle name="Millares 2 4" xfId="164"/>
    <cellStyle name="Millares 2 4 2" xfId="165"/>
    <cellStyle name="Millares 2 5" xfId="166"/>
    <cellStyle name="Millares 3" xfId="167"/>
    <cellStyle name="Millares 3 2" xfId="168"/>
    <cellStyle name="Millares 3 3" xfId="169"/>
    <cellStyle name="Millares 4" xfId="170"/>
    <cellStyle name="Currency" xfId="171"/>
    <cellStyle name="Currency [0]" xfId="172"/>
    <cellStyle name="Neutral" xfId="173"/>
    <cellStyle name="Neutral 2" xfId="174"/>
    <cellStyle name="Neutral 3" xfId="175"/>
    <cellStyle name="Neutral 4" xfId="176"/>
    <cellStyle name="Normal 2" xfId="177"/>
    <cellStyle name="Normal 2 2" xfId="178"/>
    <cellStyle name="Normal 2 3" xfId="179"/>
    <cellStyle name="Normal 3" xfId="180"/>
    <cellStyle name="Normal 3 2" xfId="181"/>
    <cellStyle name="Normal 3 3" xfId="182"/>
    <cellStyle name="Normal 4" xfId="183"/>
    <cellStyle name="Normal 4 2" xfId="184"/>
    <cellStyle name="Normal 5" xfId="185"/>
    <cellStyle name="Notas" xfId="186"/>
    <cellStyle name="Notas 2" xfId="187"/>
    <cellStyle name="Notas 3" xfId="188"/>
    <cellStyle name="Notas 4" xfId="189"/>
    <cellStyle name="Percent" xfId="190"/>
    <cellStyle name="Porcentaje 2" xfId="191"/>
    <cellStyle name="Porcentaje 2 2" xfId="192"/>
    <cellStyle name="Porcentaje 2 3" xfId="193"/>
    <cellStyle name="Porcentaje 3" xfId="194"/>
    <cellStyle name="Porcentual 2 2" xfId="195"/>
    <cellStyle name="Salida" xfId="196"/>
    <cellStyle name="Salida 2" xfId="197"/>
    <cellStyle name="Salida 3" xfId="198"/>
    <cellStyle name="Salida 4" xfId="199"/>
    <cellStyle name="Texto de advertencia" xfId="200"/>
    <cellStyle name="Texto de advertencia 2" xfId="201"/>
    <cellStyle name="Texto de advertencia 3" xfId="202"/>
    <cellStyle name="Texto de advertencia 4" xfId="203"/>
    <cellStyle name="Texto explicativo" xfId="204"/>
    <cellStyle name="Texto explicativo 2" xfId="205"/>
    <cellStyle name="Texto explicativo 3" xfId="206"/>
    <cellStyle name="Texto explicativo 4" xfId="207"/>
    <cellStyle name="Título" xfId="208"/>
    <cellStyle name="Título 1" xfId="209"/>
    <cellStyle name="Título 1 2" xfId="210"/>
    <cellStyle name="Título 1 3" xfId="211"/>
    <cellStyle name="Título 1 4" xfId="212"/>
    <cellStyle name="Título 2" xfId="213"/>
    <cellStyle name="Título 2 2" xfId="214"/>
    <cellStyle name="Título 2 3" xfId="215"/>
    <cellStyle name="Título 2 4" xfId="216"/>
    <cellStyle name="Título 3" xfId="217"/>
    <cellStyle name="Título 3 2" xfId="218"/>
    <cellStyle name="Título 3 3" xfId="219"/>
    <cellStyle name="Título 3 4" xfId="220"/>
    <cellStyle name="Título 4" xfId="221"/>
    <cellStyle name="Título 5" xfId="222"/>
    <cellStyle name="Título 6" xfId="223"/>
    <cellStyle name="Total" xfId="224"/>
    <cellStyle name="Total 2" xfId="225"/>
    <cellStyle name="Total 3" xfId="226"/>
    <cellStyle name="Total 4"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1638300</xdr:colOff>
      <xdr:row>6</xdr:row>
      <xdr:rowOff>866775</xdr:rowOff>
    </xdr:from>
    <xdr:to>
      <xdr:col>3</xdr:col>
      <xdr:colOff>847725</xdr:colOff>
      <xdr:row>9</xdr:row>
      <xdr:rowOff>142875</xdr:rowOff>
    </xdr:to>
    <xdr:sp>
      <xdr:nvSpPr>
        <xdr:cNvPr id="1" name="1 Llamada de flecha hacia abajo"/>
        <xdr:cNvSpPr>
          <a:spLocks/>
        </xdr:cNvSpPr>
      </xdr:nvSpPr>
      <xdr:spPr>
        <a:xfrm>
          <a:off x="5753100" y="3762375"/>
          <a:ext cx="1257300" cy="942975"/>
        </a:xfrm>
        <a:prstGeom prst="downArrowCallout">
          <a:avLst>
            <a:gd name="adj1" fmla="val 7898"/>
            <a:gd name="adj2" fmla="val -8222"/>
            <a:gd name="adj3" fmla="val 28125"/>
            <a:gd name="adj4" fmla="val -1398"/>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161925</xdr:colOff>
      <xdr:row>0</xdr:row>
      <xdr:rowOff>47625</xdr:rowOff>
    </xdr:from>
    <xdr:to>
      <xdr:col>22</xdr:col>
      <xdr:colOff>733425</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8821400" y="47625"/>
          <a:ext cx="5715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6</xdr:row>
      <xdr:rowOff>838200</xdr:rowOff>
    </xdr:from>
    <xdr:to>
      <xdr:col>3</xdr:col>
      <xdr:colOff>742950</xdr:colOff>
      <xdr:row>9</xdr:row>
      <xdr:rowOff>114300</xdr:rowOff>
    </xdr:to>
    <xdr:sp>
      <xdr:nvSpPr>
        <xdr:cNvPr id="1" name="1 Llamada de flecha hacia abajo"/>
        <xdr:cNvSpPr>
          <a:spLocks/>
        </xdr:cNvSpPr>
      </xdr:nvSpPr>
      <xdr:spPr>
        <a:xfrm>
          <a:off x="5648325" y="2638425"/>
          <a:ext cx="1257300" cy="942975"/>
        </a:xfrm>
        <a:prstGeom prst="downArrowCallout">
          <a:avLst>
            <a:gd name="adj1" fmla="val 7898"/>
            <a:gd name="adj2" fmla="val -8222"/>
            <a:gd name="adj3" fmla="val 28125"/>
            <a:gd name="adj4" fmla="val -1398"/>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161925</xdr:colOff>
      <xdr:row>0</xdr:row>
      <xdr:rowOff>47625</xdr:rowOff>
    </xdr:from>
    <xdr:to>
      <xdr:col>22</xdr:col>
      <xdr:colOff>733425</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7716500" y="47625"/>
          <a:ext cx="5715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0</xdr:col>
      <xdr:colOff>628650</xdr:colOff>
      <xdr:row>0</xdr:row>
      <xdr:rowOff>504825</xdr:rowOff>
    </xdr:to>
    <xdr:pic>
      <xdr:nvPicPr>
        <xdr:cNvPr id="1"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161925</xdr:colOff>
      <xdr:row>0</xdr:row>
      <xdr:rowOff>47625</xdr:rowOff>
    </xdr:from>
    <xdr:to>
      <xdr:col>22</xdr:col>
      <xdr:colOff>733425</xdr:colOff>
      <xdr:row>0</xdr:row>
      <xdr:rowOff>533400</xdr:rowOff>
    </xdr:to>
    <xdr:pic>
      <xdr:nvPicPr>
        <xdr:cNvPr id="2" name="2 Imagen" descr="bandera mariquita"/>
        <xdr:cNvPicPr preferRelativeResize="1">
          <a:picLocks noChangeAspect="1"/>
        </xdr:cNvPicPr>
      </xdr:nvPicPr>
      <xdr:blipFill>
        <a:blip r:embed="rId2"/>
        <a:stretch>
          <a:fillRect/>
        </a:stretch>
      </xdr:blipFill>
      <xdr:spPr>
        <a:xfrm>
          <a:off x="18078450" y="47625"/>
          <a:ext cx="571500" cy="485775"/>
        </a:xfrm>
        <a:prstGeom prst="rect">
          <a:avLst/>
        </a:prstGeom>
        <a:noFill/>
        <a:ln w="9525" cmpd="sng">
          <a:noFill/>
        </a:ln>
      </xdr:spPr>
    </xdr:pic>
    <xdr:clientData/>
  </xdr:twoCellAnchor>
  <xdr:twoCellAnchor>
    <xdr:from>
      <xdr:col>2</xdr:col>
      <xdr:colOff>1485900</xdr:colOff>
      <xdr:row>6</xdr:row>
      <xdr:rowOff>771525</xdr:rowOff>
    </xdr:from>
    <xdr:to>
      <xdr:col>3</xdr:col>
      <xdr:colOff>695325</xdr:colOff>
      <xdr:row>9</xdr:row>
      <xdr:rowOff>0</xdr:rowOff>
    </xdr:to>
    <xdr:sp>
      <xdr:nvSpPr>
        <xdr:cNvPr id="3" name="3 Llamada de flecha hacia abajo"/>
        <xdr:cNvSpPr>
          <a:spLocks/>
        </xdr:cNvSpPr>
      </xdr:nvSpPr>
      <xdr:spPr>
        <a:xfrm>
          <a:off x="5324475" y="3629025"/>
          <a:ext cx="1247775" cy="981075"/>
        </a:xfrm>
        <a:prstGeom prst="downArrowCallout">
          <a:avLst>
            <a:gd name="adj1" fmla="val 7898"/>
            <a:gd name="adj2" fmla="val -8620"/>
            <a:gd name="adj3" fmla="val 28125"/>
            <a:gd name="adj4" fmla="val -1467"/>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1219200</xdr:colOff>
      <xdr:row>6</xdr:row>
      <xdr:rowOff>838200</xdr:rowOff>
    </xdr:from>
    <xdr:to>
      <xdr:col>3</xdr:col>
      <xdr:colOff>733425</xdr:colOff>
      <xdr:row>9</xdr:row>
      <xdr:rowOff>9525</xdr:rowOff>
    </xdr:to>
    <xdr:sp>
      <xdr:nvSpPr>
        <xdr:cNvPr id="1" name="1 Llamada de flecha hacia abajo"/>
        <xdr:cNvSpPr>
          <a:spLocks/>
        </xdr:cNvSpPr>
      </xdr:nvSpPr>
      <xdr:spPr>
        <a:xfrm>
          <a:off x="5314950" y="3924300"/>
          <a:ext cx="1257300" cy="942975"/>
        </a:xfrm>
        <a:prstGeom prst="downArrowCallout">
          <a:avLst>
            <a:gd name="adj1" fmla="val 7898"/>
            <a:gd name="adj2" fmla="val -8222"/>
            <a:gd name="adj3" fmla="val 28125"/>
            <a:gd name="adj4" fmla="val -1398"/>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152400</xdr:colOff>
      <xdr:row>0</xdr:row>
      <xdr:rowOff>47625</xdr:rowOff>
    </xdr:from>
    <xdr:to>
      <xdr:col>22</xdr:col>
      <xdr:colOff>723900</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6897350" y="47625"/>
          <a:ext cx="5715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6</xdr:row>
      <xdr:rowOff>771525</xdr:rowOff>
    </xdr:from>
    <xdr:to>
      <xdr:col>3</xdr:col>
      <xdr:colOff>952500</xdr:colOff>
      <xdr:row>9</xdr:row>
      <xdr:rowOff>161925</xdr:rowOff>
    </xdr:to>
    <xdr:sp>
      <xdr:nvSpPr>
        <xdr:cNvPr id="1" name="1 Llamada de flecha hacia abajo"/>
        <xdr:cNvSpPr>
          <a:spLocks/>
        </xdr:cNvSpPr>
      </xdr:nvSpPr>
      <xdr:spPr>
        <a:xfrm>
          <a:off x="5429250" y="2800350"/>
          <a:ext cx="1209675" cy="1038225"/>
        </a:xfrm>
        <a:prstGeom prst="downArrowCallout">
          <a:avLst>
            <a:gd name="adj1" fmla="val 7898"/>
            <a:gd name="adj2" fmla="val -9055"/>
            <a:gd name="adj3" fmla="val 28125"/>
            <a:gd name="adj4" fmla="val -1537"/>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180975</xdr:colOff>
      <xdr:row>0</xdr:row>
      <xdr:rowOff>47625</xdr:rowOff>
    </xdr:from>
    <xdr:to>
      <xdr:col>22</xdr:col>
      <xdr:colOff>752475</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7345025" y="47625"/>
          <a:ext cx="5715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6</xdr:row>
      <xdr:rowOff>885825</xdr:rowOff>
    </xdr:from>
    <xdr:to>
      <xdr:col>3</xdr:col>
      <xdr:colOff>885825</xdr:colOff>
      <xdr:row>9</xdr:row>
      <xdr:rowOff>104775</xdr:rowOff>
    </xdr:to>
    <xdr:sp>
      <xdr:nvSpPr>
        <xdr:cNvPr id="1" name="1 Llamada de flecha hacia abajo"/>
        <xdr:cNvSpPr>
          <a:spLocks/>
        </xdr:cNvSpPr>
      </xdr:nvSpPr>
      <xdr:spPr>
        <a:xfrm>
          <a:off x="5143500" y="3381375"/>
          <a:ext cx="1495425" cy="857250"/>
        </a:xfrm>
        <a:prstGeom prst="downArrowCallout">
          <a:avLst>
            <a:gd name="adj1" fmla="val 7898"/>
            <a:gd name="adj2" fmla="val -6287"/>
            <a:gd name="adj3" fmla="val 28125"/>
            <a:gd name="adj4" fmla="val -1069"/>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152400</xdr:colOff>
      <xdr:row>0</xdr:row>
      <xdr:rowOff>47625</xdr:rowOff>
    </xdr:from>
    <xdr:to>
      <xdr:col>22</xdr:col>
      <xdr:colOff>723900</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7297400" y="47625"/>
          <a:ext cx="5715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1562100</xdr:colOff>
      <xdr:row>6</xdr:row>
      <xdr:rowOff>904875</xdr:rowOff>
    </xdr:from>
    <xdr:to>
      <xdr:col>3</xdr:col>
      <xdr:colOff>771525</xdr:colOff>
      <xdr:row>9</xdr:row>
      <xdr:rowOff>152400</xdr:rowOff>
    </xdr:to>
    <xdr:sp>
      <xdr:nvSpPr>
        <xdr:cNvPr id="1" name="2 Llamada de flecha hacia abajo"/>
        <xdr:cNvSpPr>
          <a:spLocks/>
        </xdr:cNvSpPr>
      </xdr:nvSpPr>
      <xdr:spPr>
        <a:xfrm>
          <a:off x="5657850" y="3457575"/>
          <a:ext cx="1257300" cy="942975"/>
        </a:xfrm>
        <a:prstGeom prst="downArrowCallout">
          <a:avLst>
            <a:gd name="adj1" fmla="val 7898"/>
            <a:gd name="adj2" fmla="val -8222"/>
            <a:gd name="adj3" fmla="val 28125"/>
            <a:gd name="adj4" fmla="val -1398"/>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247650</xdr:colOff>
      <xdr:row>0</xdr:row>
      <xdr:rowOff>47625</xdr:rowOff>
    </xdr:from>
    <xdr:to>
      <xdr:col>22</xdr:col>
      <xdr:colOff>742950</xdr:colOff>
      <xdr:row>0</xdr:row>
      <xdr:rowOff>514350</xdr:rowOff>
    </xdr:to>
    <xdr:pic>
      <xdr:nvPicPr>
        <xdr:cNvPr id="3" name="4 Imagen" descr="bandera mariquita"/>
        <xdr:cNvPicPr preferRelativeResize="1">
          <a:picLocks noChangeAspect="1"/>
        </xdr:cNvPicPr>
      </xdr:nvPicPr>
      <xdr:blipFill>
        <a:blip r:embed="rId2"/>
        <a:stretch>
          <a:fillRect/>
        </a:stretch>
      </xdr:blipFill>
      <xdr:spPr>
        <a:xfrm>
          <a:off x="17497425" y="47625"/>
          <a:ext cx="4953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1466850</xdr:colOff>
      <xdr:row>6</xdr:row>
      <xdr:rowOff>1019175</xdr:rowOff>
    </xdr:from>
    <xdr:to>
      <xdr:col>3</xdr:col>
      <xdr:colOff>676275</xdr:colOff>
      <xdr:row>9</xdr:row>
      <xdr:rowOff>85725</xdr:rowOff>
    </xdr:to>
    <xdr:sp>
      <xdr:nvSpPr>
        <xdr:cNvPr id="1" name="1 Llamada de flecha hacia abajo"/>
        <xdr:cNvSpPr>
          <a:spLocks/>
        </xdr:cNvSpPr>
      </xdr:nvSpPr>
      <xdr:spPr>
        <a:xfrm>
          <a:off x="5562600" y="3371850"/>
          <a:ext cx="1257300" cy="942975"/>
        </a:xfrm>
        <a:prstGeom prst="downArrowCallout">
          <a:avLst>
            <a:gd name="adj1" fmla="val 7898"/>
            <a:gd name="adj2" fmla="val -8222"/>
            <a:gd name="adj3" fmla="val 28125"/>
            <a:gd name="adj4" fmla="val -1398"/>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57150</xdr:rowOff>
    </xdr:from>
    <xdr:to>
      <xdr:col>0</xdr:col>
      <xdr:colOff>628650</xdr:colOff>
      <xdr:row>0</xdr:row>
      <xdr:rowOff>504825</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57150"/>
          <a:ext cx="561975" cy="447675"/>
        </a:xfrm>
        <a:prstGeom prst="rect">
          <a:avLst/>
        </a:prstGeom>
        <a:noFill/>
        <a:ln w="9525" cmpd="sng">
          <a:noFill/>
        </a:ln>
      </xdr:spPr>
    </xdr:pic>
    <xdr:clientData/>
  </xdr:twoCellAnchor>
  <xdr:twoCellAnchor>
    <xdr:from>
      <xdr:col>22</xdr:col>
      <xdr:colOff>161925</xdr:colOff>
      <xdr:row>0</xdr:row>
      <xdr:rowOff>47625</xdr:rowOff>
    </xdr:from>
    <xdr:to>
      <xdr:col>22</xdr:col>
      <xdr:colOff>733425</xdr:colOff>
      <xdr:row>0</xdr:row>
      <xdr:rowOff>533400</xdr:rowOff>
    </xdr:to>
    <xdr:pic>
      <xdr:nvPicPr>
        <xdr:cNvPr id="3" name="3 Imagen" descr="bandera mariquita"/>
        <xdr:cNvPicPr preferRelativeResize="1">
          <a:picLocks noChangeAspect="1"/>
        </xdr:cNvPicPr>
      </xdr:nvPicPr>
      <xdr:blipFill>
        <a:blip r:embed="rId2"/>
        <a:stretch>
          <a:fillRect/>
        </a:stretch>
      </xdr:blipFill>
      <xdr:spPr>
        <a:xfrm>
          <a:off x="14668500" y="47625"/>
          <a:ext cx="5715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Eje%20desarrollo\Saneamiento%20b&#65533;sico\Construcci&#65533;n%20%20alcantarillado.xls" TargetMode="External" /><Relationship Id="rId2" Type="http://schemas.openxmlformats.org/officeDocument/2006/relationships/hyperlink" Target="Indicadores%20de%20gesti&#65533;n\Eje%20desarrollo\Saneamiento%20b&#65533;sico\Construcci&#65533;n%20%20pozos..xl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Indicadores%20de%20gesti&#65533;n\Eje%20desarrollo\Otros%20servicios\Cobertura.xl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dicadores%20de%20gesti&#65533;n\Eje%20desarrollo\V&#65533;as%20y%20transporte\Metros%20cuadrados%20repavimentados.xls" TargetMode="External" /><Relationship Id="rId2" Type="http://schemas.openxmlformats.org/officeDocument/2006/relationships/hyperlink" Target="Indicadores%20de%20gesti&#65533;n\Eje%20desarrollo\V&#65533;as%20y%20transporte\Mantenimiento%20vias%20rurales.xl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Indicadores%20de%20gesti&#65533;n\Eje%20desarrollo\Medio%20ambiente\Jornadas%20de%20capacitacion..xls" TargetMode="External" /><Relationship Id="rId2" Type="http://schemas.openxmlformats.org/officeDocument/2006/relationships/hyperlink" Target="Indicadores%20de%20gesti&#65533;n\Eje%20desarrollo\Medio%20ambiente\Arboles%20sembrados%20y%20con%20buen%20mantenimiento.xls"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Indicadores%20de%20gesti&#65533;n\Eje%20desarrollo\Agropecuario\Construcci&#65533;n%20hornillas..xls" TargetMode="External" /><Relationship Id="rId2" Type="http://schemas.openxmlformats.org/officeDocument/2006/relationships/hyperlink" Target="Indicadores%20de%20gesti&#65533;n\Eje%20desarrollo\Agropecuario\Hect&#65533;reas%20sembradas..xls"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Indicadores%20de%20gesti&#65533;n\Eje%20desarrollo\Equipamento%20municipal\Mantenimiento..xls"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Indicadores%20de%20gesti&#65533;n\Eje%20desarrollo\Cultura\Expresiones%20art&#65533;sitcas.xls" TargetMode="External" /><Relationship Id="rId2" Type="http://schemas.openxmlformats.org/officeDocument/2006/relationships/hyperlink" Target="Indicadores%20de%20gesti&#65533;n\Eje%20desarrollo\Cultura\Espacios%20de%20participacion.xls"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Indicadores%20de%20gesti&#65533;n\Eje%20desarrollo\Turismo\Capitaci&#65533;n..xls"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showGridLines="0" tabSelected="1" zoomScalePageLayoutView="0" workbookViewId="0" topLeftCell="A17">
      <selection activeCell="B24" sqref="B24"/>
    </sheetView>
  </sheetViews>
  <sheetFormatPr defaultColWidth="11.421875" defaultRowHeight="12.75"/>
  <cols>
    <col min="1" max="1" width="30.7109375" style="0" customWidth="1"/>
    <col min="2" max="2" width="31.00390625" style="0" bestFit="1" customWidth="1"/>
    <col min="3" max="3" width="30.7109375" style="0" customWidth="1"/>
    <col min="4" max="4" width="24.57421875" style="0" customWidth="1"/>
    <col min="5" max="5" width="5.140625" style="0" bestFit="1" customWidth="1"/>
    <col min="6" max="6" width="6.00390625" style="0" bestFit="1" customWidth="1"/>
    <col min="7" max="9" width="4.8515625" style="0" bestFit="1" customWidth="1"/>
    <col min="10" max="10" width="14.28125" style="0" bestFit="1" customWidth="1"/>
    <col min="11" max="11" width="5.140625" style="0" bestFit="1" customWidth="1"/>
    <col min="12" max="12" width="12.57421875" style="0" bestFit="1" customWidth="1"/>
    <col min="13" max="13" width="11.57421875" style="0" bestFit="1" customWidth="1"/>
    <col min="14" max="14" width="5.140625" style="0" bestFit="1" customWidth="1"/>
    <col min="15" max="15" width="12.57421875" style="0" bestFit="1" customWidth="1"/>
    <col min="16" max="16" width="11.57421875" style="0" bestFit="1" customWidth="1"/>
    <col min="17" max="17" width="5.140625" style="0" bestFit="1" customWidth="1"/>
    <col min="18" max="18" width="14.140625" style="0" bestFit="1" customWidth="1"/>
    <col min="19" max="19" width="11.57421875" style="0" bestFit="1" customWidth="1"/>
    <col min="20" max="20" width="5.140625" style="0" bestFit="1" customWidth="1"/>
    <col min="21" max="22" width="14.140625" style="0" bestFit="1" customWidth="1"/>
    <col min="23" max="23" width="11.8515625" style="0" bestFit="1"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s="5" customFormat="1" ht="15">
      <c r="A2" s="254" t="s">
        <v>180</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177</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181</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6" t="s">
        <v>10</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123" customHeight="1">
      <c r="A6" s="229" t="s">
        <v>108</v>
      </c>
      <c r="B6" s="230"/>
      <c r="C6" s="230"/>
      <c r="D6" s="230"/>
      <c r="E6" s="230"/>
      <c r="F6" s="230"/>
      <c r="G6" s="230"/>
      <c r="H6" s="230"/>
      <c r="I6" s="230"/>
      <c r="J6" s="230"/>
      <c r="K6" s="230"/>
      <c r="L6" s="230"/>
      <c r="M6" s="230"/>
      <c r="N6" s="230"/>
      <c r="O6" s="230"/>
      <c r="P6" s="230"/>
      <c r="Q6" s="230"/>
      <c r="R6" s="230"/>
      <c r="S6" s="230"/>
      <c r="T6" s="230"/>
      <c r="U6" s="230"/>
      <c r="V6" s="230"/>
      <c r="W6" s="231"/>
    </row>
    <row r="7" spans="1:23" s="5" customFormat="1" ht="93.7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ht="12.75">
      <c r="A8" s="250" t="s">
        <v>0</v>
      </c>
      <c r="B8" s="242" t="s">
        <v>1</v>
      </c>
      <c r="C8" s="244" t="s">
        <v>2</v>
      </c>
      <c r="D8" s="250" t="s">
        <v>3</v>
      </c>
      <c r="E8" s="242"/>
      <c r="F8" s="242"/>
      <c r="G8" s="242"/>
      <c r="H8" s="242"/>
      <c r="I8" s="251"/>
      <c r="J8" s="248" t="s">
        <v>5</v>
      </c>
      <c r="K8" s="249"/>
      <c r="L8" s="249"/>
      <c r="M8" s="249" t="s">
        <v>6</v>
      </c>
      <c r="N8" s="249"/>
      <c r="O8" s="249"/>
      <c r="P8" s="249" t="s">
        <v>7</v>
      </c>
      <c r="Q8" s="249"/>
      <c r="R8" s="249"/>
      <c r="S8" s="249" t="s">
        <v>8</v>
      </c>
      <c r="T8" s="249"/>
      <c r="U8" s="249"/>
      <c r="V8" s="232" t="s">
        <v>46</v>
      </c>
      <c r="W8" s="257" t="s">
        <v>38</v>
      </c>
    </row>
    <row r="9" spans="1:23" ht="24.75" thickBot="1">
      <c r="A9" s="259"/>
      <c r="B9" s="243"/>
      <c r="C9" s="245"/>
      <c r="D9" s="182" t="s">
        <v>4</v>
      </c>
      <c r="E9" s="183" t="s">
        <v>40</v>
      </c>
      <c r="F9" s="184">
        <v>2012</v>
      </c>
      <c r="G9" s="184">
        <v>2013</v>
      </c>
      <c r="H9" s="184">
        <v>2014</v>
      </c>
      <c r="I9" s="185">
        <v>2015</v>
      </c>
      <c r="J9" s="186" t="s">
        <v>41</v>
      </c>
      <c r="K9" s="183" t="s">
        <v>190</v>
      </c>
      <c r="L9" s="183" t="s">
        <v>42</v>
      </c>
      <c r="M9" s="183" t="s">
        <v>41</v>
      </c>
      <c r="N9" s="183" t="s">
        <v>190</v>
      </c>
      <c r="O9" s="183" t="s">
        <v>42</v>
      </c>
      <c r="P9" s="183" t="s">
        <v>41</v>
      </c>
      <c r="Q9" s="183" t="s">
        <v>190</v>
      </c>
      <c r="R9" s="183" t="s">
        <v>42</v>
      </c>
      <c r="S9" s="183" t="s">
        <v>41</v>
      </c>
      <c r="T9" s="183" t="s">
        <v>190</v>
      </c>
      <c r="U9" s="183" t="s">
        <v>42</v>
      </c>
      <c r="V9" s="233"/>
      <c r="W9" s="258"/>
    </row>
    <row r="10" spans="1:23" ht="24">
      <c r="A10" s="252" t="s">
        <v>105</v>
      </c>
      <c r="B10" s="246" t="s">
        <v>213</v>
      </c>
      <c r="C10" s="94" t="s">
        <v>85</v>
      </c>
      <c r="D10" s="187" t="s">
        <v>83</v>
      </c>
      <c r="E10" s="95">
        <v>0</v>
      </c>
      <c r="F10" s="95">
        <v>200</v>
      </c>
      <c r="G10" s="95">
        <v>650</v>
      </c>
      <c r="H10" s="95">
        <v>650</v>
      </c>
      <c r="I10" s="95">
        <v>500</v>
      </c>
      <c r="J10" s="96">
        <v>10000000</v>
      </c>
      <c r="K10" s="96">
        <v>0</v>
      </c>
      <c r="L10" s="96">
        <f>81200000+8750000</f>
        <v>89950000</v>
      </c>
      <c r="M10" s="96">
        <f>+J10*1.05</f>
        <v>10500000</v>
      </c>
      <c r="N10" s="96">
        <v>0</v>
      </c>
      <c r="O10" s="96">
        <f aca="true" t="shared" si="0" ref="O10:P21">+L10*1.05</f>
        <v>94447500</v>
      </c>
      <c r="P10" s="96">
        <f>+M10*1.05</f>
        <v>11025000</v>
      </c>
      <c r="Q10" s="96">
        <v>0</v>
      </c>
      <c r="R10" s="96">
        <f aca="true" t="shared" si="1" ref="R10:S21">+O10*1.05</f>
        <v>99169875</v>
      </c>
      <c r="S10" s="96">
        <f>+P10*1.05</f>
        <v>11576250</v>
      </c>
      <c r="T10" s="96">
        <v>0</v>
      </c>
      <c r="U10" s="96">
        <f aca="true" t="shared" si="2" ref="U10:U21">+R10*1.05</f>
        <v>104128368.75</v>
      </c>
      <c r="V10" s="99">
        <f>SUM(J10:U10)</f>
        <v>430796993.75</v>
      </c>
      <c r="W10" s="57">
        <f>+V10/$V$22</f>
        <v>0.09879552255014772</v>
      </c>
    </row>
    <row r="11" spans="1:23" ht="36">
      <c r="A11" s="253"/>
      <c r="B11" s="247"/>
      <c r="C11" s="91" t="s">
        <v>88</v>
      </c>
      <c r="D11" s="91" t="s">
        <v>83</v>
      </c>
      <c r="E11" s="92">
        <v>525</v>
      </c>
      <c r="F11" s="92">
        <v>300</v>
      </c>
      <c r="G11" s="92">
        <v>600</v>
      </c>
      <c r="H11" s="92">
        <v>700</v>
      </c>
      <c r="I11" s="92">
        <v>900</v>
      </c>
      <c r="J11" s="93">
        <v>10000000</v>
      </c>
      <c r="K11" s="93">
        <v>0</v>
      </c>
      <c r="L11" s="93">
        <f>121800000+8750000</f>
        <v>130550000</v>
      </c>
      <c r="M11" s="93">
        <f aca="true" t="shared" si="3" ref="M11:M21">+J11*1.05</f>
        <v>10500000</v>
      </c>
      <c r="N11" s="93">
        <v>0</v>
      </c>
      <c r="O11" s="93">
        <f t="shared" si="0"/>
        <v>137077500</v>
      </c>
      <c r="P11" s="93">
        <f t="shared" si="0"/>
        <v>11025000</v>
      </c>
      <c r="Q11" s="93">
        <v>0</v>
      </c>
      <c r="R11" s="93">
        <f t="shared" si="1"/>
        <v>143931375</v>
      </c>
      <c r="S11" s="93">
        <f t="shared" si="1"/>
        <v>11576250</v>
      </c>
      <c r="T11" s="93">
        <v>0</v>
      </c>
      <c r="U11" s="93">
        <f t="shared" si="2"/>
        <v>151127943.75</v>
      </c>
      <c r="V11" s="100">
        <f>SUM(J11:U11)</f>
        <v>605788068.75</v>
      </c>
      <c r="W11" s="59">
        <f aca="true" t="shared" si="4" ref="W11:W21">+V11/$V$22</f>
        <v>0.1389265702293473</v>
      </c>
    </row>
    <row r="12" spans="1:23" ht="36">
      <c r="A12" s="253"/>
      <c r="B12" s="173" t="s">
        <v>212</v>
      </c>
      <c r="C12" s="91" t="s">
        <v>86</v>
      </c>
      <c r="D12" s="91" t="s">
        <v>83</v>
      </c>
      <c r="E12" s="92">
        <v>250</v>
      </c>
      <c r="F12" s="92">
        <v>100</v>
      </c>
      <c r="G12" s="92">
        <v>300</v>
      </c>
      <c r="H12" s="92">
        <v>300</v>
      </c>
      <c r="I12" s="92">
        <v>300</v>
      </c>
      <c r="J12" s="93">
        <v>0</v>
      </c>
      <c r="K12" s="93">
        <v>0</v>
      </c>
      <c r="L12" s="93">
        <f>25000000+8750000</f>
        <v>33750000</v>
      </c>
      <c r="M12" s="93">
        <f t="shared" si="3"/>
        <v>0</v>
      </c>
      <c r="N12" s="93">
        <v>0</v>
      </c>
      <c r="O12" s="93">
        <f t="shared" si="0"/>
        <v>35437500</v>
      </c>
      <c r="P12" s="93">
        <f t="shared" si="0"/>
        <v>0</v>
      </c>
      <c r="Q12" s="93">
        <v>0</v>
      </c>
      <c r="R12" s="93">
        <f t="shared" si="1"/>
        <v>37209375</v>
      </c>
      <c r="S12" s="93">
        <f t="shared" si="1"/>
        <v>0</v>
      </c>
      <c r="T12" s="93">
        <v>0</v>
      </c>
      <c r="U12" s="93">
        <f t="shared" si="2"/>
        <v>39069843.75</v>
      </c>
      <c r="V12" s="100">
        <f>SUM(J12:U12)</f>
        <v>145466718.75</v>
      </c>
      <c r="W12" s="59">
        <f t="shared" si="4"/>
        <v>0.03336016894514743</v>
      </c>
    </row>
    <row r="13" spans="1:23" ht="24">
      <c r="A13" s="253"/>
      <c r="B13" s="173" t="s">
        <v>211</v>
      </c>
      <c r="C13" s="91" t="s">
        <v>87</v>
      </c>
      <c r="D13" s="157" t="s">
        <v>159</v>
      </c>
      <c r="E13" s="92">
        <v>16</v>
      </c>
      <c r="F13" s="92">
        <v>6</v>
      </c>
      <c r="G13" s="92">
        <v>16</v>
      </c>
      <c r="H13" s="92">
        <v>18</v>
      </c>
      <c r="I13" s="92">
        <v>20</v>
      </c>
      <c r="J13" s="93">
        <v>0</v>
      </c>
      <c r="K13" s="93">
        <v>0</v>
      </c>
      <c r="L13" s="93">
        <f>10000000+8750000</f>
        <v>18750000</v>
      </c>
      <c r="M13" s="93">
        <f t="shared" si="3"/>
        <v>0</v>
      </c>
      <c r="N13" s="93">
        <v>0</v>
      </c>
      <c r="O13" s="93">
        <f t="shared" si="0"/>
        <v>19687500</v>
      </c>
      <c r="P13" s="93">
        <f t="shared" si="0"/>
        <v>0</v>
      </c>
      <c r="Q13" s="93">
        <v>0</v>
      </c>
      <c r="R13" s="93">
        <f t="shared" si="1"/>
        <v>20671875</v>
      </c>
      <c r="S13" s="93">
        <f t="shared" si="1"/>
        <v>0</v>
      </c>
      <c r="T13" s="93">
        <v>0</v>
      </c>
      <c r="U13" s="93">
        <f t="shared" si="2"/>
        <v>21705468.75</v>
      </c>
      <c r="V13" s="100">
        <f>SUM(J13:U13)</f>
        <v>80814843.75</v>
      </c>
      <c r="W13" s="59">
        <f t="shared" si="4"/>
        <v>0.01853342719174857</v>
      </c>
    </row>
    <row r="14" spans="1:23" ht="48">
      <c r="A14" s="253"/>
      <c r="B14" s="173" t="s">
        <v>210</v>
      </c>
      <c r="C14" s="91" t="s">
        <v>214</v>
      </c>
      <c r="D14" s="91" t="s">
        <v>84</v>
      </c>
      <c r="E14" s="92">
        <v>1</v>
      </c>
      <c r="F14" s="92">
        <v>1</v>
      </c>
      <c r="G14" s="92">
        <v>1</v>
      </c>
      <c r="H14" s="92">
        <v>1</v>
      </c>
      <c r="I14" s="92">
        <v>1</v>
      </c>
      <c r="J14" s="93">
        <v>5000000</v>
      </c>
      <c r="K14" s="93">
        <v>0</v>
      </c>
      <c r="L14" s="93">
        <v>15000000</v>
      </c>
      <c r="M14" s="93">
        <f t="shared" si="3"/>
        <v>5250000</v>
      </c>
      <c r="N14" s="93">
        <v>0</v>
      </c>
      <c r="O14" s="93">
        <f t="shared" si="0"/>
        <v>15750000</v>
      </c>
      <c r="P14" s="93">
        <f t="shared" si="0"/>
        <v>5512500</v>
      </c>
      <c r="Q14" s="93">
        <v>0</v>
      </c>
      <c r="R14" s="93">
        <f t="shared" si="1"/>
        <v>16537500</v>
      </c>
      <c r="S14" s="93">
        <f t="shared" si="1"/>
        <v>5788125</v>
      </c>
      <c r="T14" s="93">
        <v>0</v>
      </c>
      <c r="U14" s="93">
        <f t="shared" si="2"/>
        <v>17364375</v>
      </c>
      <c r="V14" s="100">
        <f>SUM(J14:U14)</f>
        <v>86202500</v>
      </c>
      <c r="W14" s="59">
        <f t="shared" si="4"/>
        <v>0.01976898900453181</v>
      </c>
    </row>
    <row r="15" spans="1:23" ht="24">
      <c r="A15" s="253"/>
      <c r="B15" s="173" t="s">
        <v>209</v>
      </c>
      <c r="C15" s="91" t="s">
        <v>205</v>
      </c>
      <c r="D15" s="91" t="s">
        <v>97</v>
      </c>
      <c r="E15" s="92">
        <v>3</v>
      </c>
      <c r="F15" s="92">
        <v>1</v>
      </c>
      <c r="G15" s="92">
        <v>2</v>
      </c>
      <c r="H15" s="92">
        <v>2</v>
      </c>
      <c r="I15" s="92">
        <v>1</v>
      </c>
      <c r="J15" s="93">
        <v>12000000</v>
      </c>
      <c r="K15" s="93">
        <v>0</v>
      </c>
      <c r="L15" s="93">
        <v>32000000</v>
      </c>
      <c r="M15" s="93">
        <f t="shared" si="3"/>
        <v>12600000</v>
      </c>
      <c r="N15" s="93">
        <v>0</v>
      </c>
      <c r="O15" s="93">
        <f t="shared" si="0"/>
        <v>33600000</v>
      </c>
      <c r="P15" s="93">
        <f t="shared" si="0"/>
        <v>13230000</v>
      </c>
      <c r="Q15" s="93">
        <v>0</v>
      </c>
      <c r="R15" s="93">
        <f t="shared" si="1"/>
        <v>35280000</v>
      </c>
      <c r="S15" s="93">
        <f t="shared" si="1"/>
        <v>13891500</v>
      </c>
      <c r="T15" s="93">
        <v>0</v>
      </c>
      <c r="U15" s="93">
        <f t="shared" si="2"/>
        <v>37044000</v>
      </c>
      <c r="V15" s="100">
        <f aca="true" t="shared" si="5" ref="V15:V21">SUM(J15:U15)</f>
        <v>189645500</v>
      </c>
      <c r="W15" s="59">
        <f t="shared" si="4"/>
        <v>0.043491775809969976</v>
      </c>
    </row>
    <row r="16" spans="1:23" ht="24">
      <c r="A16" s="253"/>
      <c r="B16" s="173" t="s">
        <v>208</v>
      </c>
      <c r="C16" s="91" t="s">
        <v>99</v>
      </c>
      <c r="D16" s="91" t="s">
        <v>98</v>
      </c>
      <c r="E16" s="92">
        <v>3</v>
      </c>
      <c r="F16" s="92">
        <v>0</v>
      </c>
      <c r="G16" s="92">
        <v>1</v>
      </c>
      <c r="H16" s="92">
        <v>1</v>
      </c>
      <c r="I16" s="92">
        <v>1</v>
      </c>
      <c r="J16" s="93">
        <v>8000000</v>
      </c>
      <c r="K16" s="93">
        <v>0</v>
      </c>
      <c r="L16" s="93">
        <v>48181524</v>
      </c>
      <c r="M16" s="93">
        <f t="shared" si="3"/>
        <v>8400000</v>
      </c>
      <c r="N16" s="93">
        <v>0</v>
      </c>
      <c r="O16" s="93">
        <f t="shared" si="0"/>
        <v>50590600.2</v>
      </c>
      <c r="P16" s="93">
        <f t="shared" si="0"/>
        <v>8820000</v>
      </c>
      <c r="Q16" s="93">
        <v>0</v>
      </c>
      <c r="R16" s="93">
        <f t="shared" si="1"/>
        <v>53120130.21000001</v>
      </c>
      <c r="S16" s="93">
        <f t="shared" si="1"/>
        <v>9261000</v>
      </c>
      <c r="T16" s="93">
        <v>0</v>
      </c>
      <c r="U16" s="93">
        <f t="shared" si="2"/>
        <v>55776136.720500015</v>
      </c>
      <c r="V16" s="100">
        <f t="shared" si="5"/>
        <v>242149391.13050005</v>
      </c>
      <c r="W16" s="59">
        <f t="shared" si="4"/>
        <v>0.055532596510692006</v>
      </c>
    </row>
    <row r="17" spans="1:23" ht="24">
      <c r="A17" s="253"/>
      <c r="B17" s="173" t="s">
        <v>206</v>
      </c>
      <c r="C17" s="91" t="s">
        <v>202</v>
      </c>
      <c r="D17" s="91" t="s">
        <v>100</v>
      </c>
      <c r="E17" s="92">
        <v>3</v>
      </c>
      <c r="F17" s="92">
        <v>1</v>
      </c>
      <c r="G17" s="92">
        <v>1</v>
      </c>
      <c r="H17" s="92">
        <v>1</v>
      </c>
      <c r="I17" s="92">
        <v>1</v>
      </c>
      <c r="J17" s="93">
        <v>10000000</v>
      </c>
      <c r="K17" s="93">
        <v>0</v>
      </c>
      <c r="L17" s="93">
        <v>88000000</v>
      </c>
      <c r="M17" s="93">
        <f t="shared" si="3"/>
        <v>10500000</v>
      </c>
      <c r="N17" s="93">
        <v>0</v>
      </c>
      <c r="O17" s="93">
        <f t="shared" si="0"/>
        <v>92400000</v>
      </c>
      <c r="P17" s="93">
        <f t="shared" si="0"/>
        <v>11025000</v>
      </c>
      <c r="Q17" s="93">
        <v>0</v>
      </c>
      <c r="R17" s="93">
        <f t="shared" si="1"/>
        <v>97020000</v>
      </c>
      <c r="S17" s="93">
        <f t="shared" si="1"/>
        <v>11576250</v>
      </c>
      <c r="T17" s="93">
        <v>0</v>
      </c>
      <c r="U17" s="93">
        <f t="shared" si="2"/>
        <v>101871000</v>
      </c>
      <c r="V17" s="100">
        <f t="shared" si="5"/>
        <v>422392250</v>
      </c>
      <c r="W17" s="59">
        <f t="shared" si="4"/>
        <v>0.09686804612220586</v>
      </c>
    </row>
    <row r="18" spans="1:23" ht="12.75">
      <c r="A18" s="253"/>
      <c r="B18" s="173" t="s">
        <v>101</v>
      </c>
      <c r="C18" s="91"/>
      <c r="D18" s="91"/>
      <c r="E18" s="92"/>
      <c r="F18" s="92"/>
      <c r="G18" s="92"/>
      <c r="H18" s="92"/>
      <c r="I18" s="92"/>
      <c r="J18" s="93">
        <v>0</v>
      </c>
      <c r="K18" s="93">
        <v>0</v>
      </c>
      <c r="L18" s="93">
        <v>264117538</v>
      </c>
      <c r="M18" s="93">
        <f t="shared" si="3"/>
        <v>0</v>
      </c>
      <c r="N18" s="93">
        <v>0</v>
      </c>
      <c r="O18" s="93">
        <f t="shared" si="0"/>
        <v>277323414.90000004</v>
      </c>
      <c r="P18" s="93">
        <f t="shared" si="0"/>
        <v>0</v>
      </c>
      <c r="Q18" s="93">
        <v>0</v>
      </c>
      <c r="R18" s="93">
        <f t="shared" si="1"/>
        <v>291189585.64500004</v>
      </c>
      <c r="S18" s="93">
        <f t="shared" si="1"/>
        <v>0</v>
      </c>
      <c r="T18" s="93">
        <v>0</v>
      </c>
      <c r="U18" s="93">
        <f t="shared" si="2"/>
        <v>305749064.92725</v>
      </c>
      <c r="V18" s="100">
        <f t="shared" si="5"/>
        <v>1138379603.47225</v>
      </c>
      <c r="W18" s="59">
        <f t="shared" si="4"/>
        <v>0.2610668352313006</v>
      </c>
    </row>
    <row r="19" spans="1:23" ht="24">
      <c r="A19" s="253"/>
      <c r="B19" s="173" t="s">
        <v>207</v>
      </c>
      <c r="C19" s="91" t="s">
        <v>102</v>
      </c>
      <c r="D19" s="91" t="s">
        <v>106</v>
      </c>
      <c r="E19" s="92">
        <v>5072</v>
      </c>
      <c r="F19" s="92">
        <v>5072</v>
      </c>
      <c r="G19" s="92">
        <v>5072</v>
      </c>
      <c r="H19" s="92">
        <v>5072</v>
      </c>
      <c r="I19" s="92">
        <v>5072</v>
      </c>
      <c r="J19" s="93">
        <v>10000000</v>
      </c>
      <c r="K19" s="93">
        <v>0</v>
      </c>
      <c r="L19" s="93">
        <v>226386462</v>
      </c>
      <c r="M19" s="93">
        <f t="shared" si="3"/>
        <v>10500000</v>
      </c>
      <c r="N19" s="93">
        <v>0</v>
      </c>
      <c r="O19" s="93">
        <f t="shared" si="0"/>
        <v>237705785.10000002</v>
      </c>
      <c r="P19" s="93">
        <f t="shared" si="0"/>
        <v>11025000</v>
      </c>
      <c r="Q19" s="93">
        <v>0</v>
      </c>
      <c r="R19" s="93">
        <f t="shared" si="1"/>
        <v>249591074.35500005</v>
      </c>
      <c r="S19" s="93">
        <f t="shared" si="1"/>
        <v>11576250</v>
      </c>
      <c r="T19" s="93">
        <v>0</v>
      </c>
      <c r="U19" s="93">
        <f t="shared" si="2"/>
        <v>262070628.07275006</v>
      </c>
      <c r="V19" s="100">
        <f t="shared" si="5"/>
        <v>1018855199.5277501</v>
      </c>
      <c r="W19" s="59">
        <f t="shared" si="4"/>
        <v>0.23365606840490882</v>
      </c>
    </row>
    <row r="20" spans="1:23" ht="60">
      <c r="A20" s="240" t="s">
        <v>179</v>
      </c>
      <c r="B20" s="8" t="s">
        <v>104</v>
      </c>
      <c r="C20" s="91" t="s">
        <v>198</v>
      </c>
      <c r="D20" s="11" t="s">
        <v>107</v>
      </c>
      <c r="E20" s="11">
        <v>1</v>
      </c>
      <c r="F20" s="11">
        <v>0</v>
      </c>
      <c r="G20" s="11">
        <v>1</v>
      </c>
      <c r="H20" s="11">
        <v>0</v>
      </c>
      <c r="I20" s="11">
        <v>0</v>
      </c>
      <c r="J20" s="93">
        <v>0</v>
      </c>
      <c r="K20" s="93">
        <v>0</v>
      </c>
      <c r="L20" s="93">
        <v>0</v>
      </c>
      <c r="M20" s="93">
        <f t="shared" si="3"/>
        <v>0</v>
      </c>
      <c r="N20" s="93"/>
      <c r="O20" s="93">
        <f t="shared" si="0"/>
        <v>0</v>
      </c>
      <c r="P20" s="93">
        <f t="shared" si="0"/>
        <v>0</v>
      </c>
      <c r="Q20" s="93">
        <v>0</v>
      </c>
      <c r="R20" s="93">
        <f t="shared" si="1"/>
        <v>0</v>
      </c>
      <c r="S20" s="93">
        <f t="shared" si="1"/>
        <v>0</v>
      </c>
      <c r="T20" s="93">
        <v>0</v>
      </c>
      <c r="U20" s="93">
        <f t="shared" si="2"/>
        <v>0</v>
      </c>
      <c r="V20" s="100">
        <f t="shared" si="5"/>
        <v>0</v>
      </c>
      <c r="W20" s="59">
        <f t="shared" si="4"/>
        <v>0</v>
      </c>
    </row>
    <row r="21" spans="1:23" ht="24.75" thickBot="1">
      <c r="A21" s="241"/>
      <c r="B21" s="168" t="s">
        <v>103</v>
      </c>
      <c r="C21" s="188"/>
      <c r="D21" s="189"/>
      <c r="E21" s="189"/>
      <c r="F21" s="189"/>
      <c r="G21" s="189"/>
      <c r="H21" s="189"/>
      <c r="I21" s="189"/>
      <c r="J21" s="97">
        <v>0</v>
      </c>
      <c r="K21" s="97">
        <v>0</v>
      </c>
      <c r="L21" s="97">
        <v>0</v>
      </c>
      <c r="M21" s="97">
        <f t="shared" si="3"/>
        <v>0</v>
      </c>
      <c r="N21" s="97">
        <v>0</v>
      </c>
      <c r="O21" s="97">
        <f t="shared" si="0"/>
        <v>0</v>
      </c>
      <c r="P21" s="97">
        <f t="shared" si="0"/>
        <v>0</v>
      </c>
      <c r="Q21" s="97"/>
      <c r="R21" s="97">
        <f t="shared" si="1"/>
        <v>0</v>
      </c>
      <c r="S21" s="97">
        <f t="shared" si="1"/>
        <v>0</v>
      </c>
      <c r="T21" s="97">
        <v>0</v>
      </c>
      <c r="U21" s="97">
        <f t="shared" si="2"/>
        <v>0</v>
      </c>
      <c r="V21" s="101">
        <f t="shared" si="5"/>
        <v>0</v>
      </c>
      <c r="W21" s="61">
        <f t="shared" si="4"/>
        <v>0</v>
      </c>
    </row>
    <row r="22" spans="1:23" s="51" customFormat="1" ht="30" customHeight="1" thickBot="1">
      <c r="A22" s="237" t="s">
        <v>39</v>
      </c>
      <c r="B22" s="238"/>
      <c r="C22" s="238"/>
      <c r="D22" s="238"/>
      <c r="E22" s="238"/>
      <c r="F22" s="238"/>
      <c r="G22" s="238"/>
      <c r="H22" s="238"/>
      <c r="I22" s="239"/>
      <c r="J22" s="69">
        <f>SUM(J10:J21)</f>
        <v>65000000</v>
      </c>
      <c r="K22" s="70">
        <f aca="true" t="shared" si="6" ref="K22:W22">SUM(K10:K21)</f>
        <v>0</v>
      </c>
      <c r="L22" s="70">
        <f t="shared" si="6"/>
        <v>946685524</v>
      </c>
      <c r="M22" s="70">
        <f t="shared" si="6"/>
        <v>68250000</v>
      </c>
      <c r="N22" s="70">
        <f t="shared" si="6"/>
        <v>0</v>
      </c>
      <c r="O22" s="70">
        <f t="shared" si="6"/>
        <v>994019800.2</v>
      </c>
      <c r="P22" s="70">
        <f t="shared" si="6"/>
        <v>71662500</v>
      </c>
      <c r="Q22" s="70">
        <f t="shared" si="6"/>
        <v>0</v>
      </c>
      <c r="R22" s="70">
        <f t="shared" si="6"/>
        <v>1043720790.21</v>
      </c>
      <c r="S22" s="70">
        <f t="shared" si="6"/>
        <v>75245625</v>
      </c>
      <c r="T22" s="70">
        <f t="shared" si="6"/>
        <v>0</v>
      </c>
      <c r="U22" s="70">
        <f t="shared" si="6"/>
        <v>1095906829.7205</v>
      </c>
      <c r="V22" s="70">
        <f t="shared" si="6"/>
        <v>4360491069.1305</v>
      </c>
      <c r="W22" s="72">
        <f t="shared" si="6"/>
        <v>1</v>
      </c>
    </row>
    <row r="25" spans="3:10" ht="12.75">
      <c r="C25" s="156">
        <f>+J22+L22</f>
        <v>1011685524</v>
      </c>
      <c r="J25" s="156"/>
    </row>
    <row r="26" ht="12.75">
      <c r="C26" s="156">
        <f>+(C25*1.05)</f>
        <v>1062269800.2</v>
      </c>
    </row>
    <row r="27" spans="3:11" ht="12.75">
      <c r="C27" s="156">
        <f>+C26*1.05</f>
        <v>1115383290.21</v>
      </c>
      <c r="K27" s="156"/>
    </row>
    <row r="28" ht="12.75">
      <c r="C28" s="156">
        <f>+C27*1.05</f>
        <v>1171152454.7205</v>
      </c>
    </row>
  </sheetData>
  <sheetProtection/>
  <mergeCells count="21">
    <mergeCell ref="S8:U8"/>
    <mergeCell ref="P8:R8"/>
    <mergeCell ref="A22:I22"/>
    <mergeCell ref="A20:A21"/>
    <mergeCell ref="B8:B9"/>
    <mergeCell ref="C8:C9"/>
    <mergeCell ref="B10:B11"/>
    <mergeCell ref="J8:L8"/>
    <mergeCell ref="D8:I8"/>
    <mergeCell ref="A10:A19"/>
    <mergeCell ref="A8:A9"/>
    <mergeCell ref="A1:W1"/>
    <mergeCell ref="A5:W5"/>
    <mergeCell ref="A6:W6"/>
    <mergeCell ref="V8:V9"/>
    <mergeCell ref="A7:W7"/>
    <mergeCell ref="A3:W3"/>
    <mergeCell ref="A2:W2"/>
    <mergeCell ref="M8:O8"/>
    <mergeCell ref="A4:W4"/>
    <mergeCell ref="W8:W9"/>
  </mergeCells>
  <hyperlinks>
    <hyperlink ref="D10" r:id="rId1" display="Construcción  alcantarillado. "/>
    <hyperlink ref="D13" r:id="rId2" display="Construcción  pozos."/>
  </hyperlinks>
  <printOptions/>
  <pageMargins left="0.3937007874015748" right="0" top="0" bottom="0" header="0" footer="0"/>
  <pageSetup fitToHeight="1" fitToWidth="1" horizontalDpi="1200" verticalDpi="1200" orientation="landscape" paperSize="5" scale="62"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W18"/>
  <sheetViews>
    <sheetView showGridLines="0" zoomScalePageLayoutView="0" workbookViewId="0" topLeftCell="A8">
      <selection activeCell="A31" sqref="A31"/>
    </sheetView>
  </sheetViews>
  <sheetFormatPr defaultColWidth="11.421875" defaultRowHeight="12.75"/>
  <cols>
    <col min="1" max="1" width="30.7109375" style="0" customWidth="1"/>
    <col min="2" max="2" width="31.00390625" style="0" bestFit="1" customWidth="1"/>
    <col min="3" max="3" width="30.7109375" style="0" customWidth="1"/>
    <col min="4" max="4" width="14.7109375" style="0" customWidth="1"/>
    <col min="5" max="7" width="6.28125" style="0" bestFit="1" customWidth="1"/>
    <col min="8" max="8" width="5.57421875" style="0" bestFit="1" customWidth="1"/>
    <col min="9" max="9" width="4.8515625" style="0" bestFit="1" customWidth="1"/>
    <col min="10" max="10" width="12.7109375" style="0" bestFit="1" customWidth="1"/>
    <col min="11" max="11" width="5.140625" style="0" bestFit="1" customWidth="1"/>
    <col min="12" max="13" width="11.57421875" style="0" bestFit="1" customWidth="1"/>
    <col min="14" max="14" width="5.140625" style="0" bestFit="1" customWidth="1"/>
    <col min="15" max="16" width="11.57421875" style="0" bestFit="1" customWidth="1"/>
    <col min="17" max="17" width="5.140625" style="0" bestFit="1" customWidth="1"/>
    <col min="18" max="19" width="11.57421875" style="0" bestFit="1" customWidth="1"/>
    <col min="20" max="20" width="5.140625" style="0" bestFit="1" customWidth="1"/>
    <col min="21" max="21" width="11.57421875" style="0" bestFit="1" customWidth="1"/>
    <col min="22" max="22" width="12.57421875" style="0" bestFit="1" customWidth="1"/>
    <col min="23" max="23" width="11.8515625" style="0" bestFit="1"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s="5" customFormat="1" ht="15">
      <c r="A2" s="254" t="s">
        <v>180</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177</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181</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6" t="s">
        <v>10</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36.75" customHeight="1">
      <c r="A6" s="261" t="s">
        <v>178</v>
      </c>
      <c r="B6" s="262"/>
      <c r="C6" s="262"/>
      <c r="D6" s="262"/>
      <c r="E6" s="262"/>
      <c r="F6" s="262"/>
      <c r="G6" s="262"/>
      <c r="H6" s="262"/>
      <c r="I6" s="262"/>
      <c r="J6" s="262"/>
      <c r="K6" s="262"/>
      <c r="L6" s="262"/>
      <c r="M6" s="262"/>
      <c r="N6" s="262"/>
      <c r="O6" s="262"/>
      <c r="P6" s="262"/>
      <c r="Q6" s="262"/>
      <c r="R6" s="262"/>
      <c r="S6" s="262"/>
      <c r="T6" s="262"/>
      <c r="U6" s="262"/>
      <c r="V6" s="262"/>
      <c r="W6" s="263"/>
    </row>
    <row r="7" spans="1:23" s="5" customFormat="1" ht="93.7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ht="12.75">
      <c r="A8" s="250" t="s">
        <v>0</v>
      </c>
      <c r="B8" s="242" t="s">
        <v>1</v>
      </c>
      <c r="C8" s="244" t="s">
        <v>2</v>
      </c>
      <c r="D8" s="250" t="s">
        <v>3</v>
      </c>
      <c r="E8" s="242"/>
      <c r="F8" s="242"/>
      <c r="G8" s="242"/>
      <c r="H8" s="242"/>
      <c r="I8" s="251"/>
      <c r="J8" s="248" t="s">
        <v>5</v>
      </c>
      <c r="K8" s="249"/>
      <c r="L8" s="249"/>
      <c r="M8" s="249" t="s">
        <v>6</v>
      </c>
      <c r="N8" s="249"/>
      <c r="O8" s="249"/>
      <c r="P8" s="249" t="s">
        <v>7</v>
      </c>
      <c r="Q8" s="249"/>
      <c r="R8" s="249"/>
      <c r="S8" s="249" t="s">
        <v>8</v>
      </c>
      <c r="T8" s="249"/>
      <c r="U8" s="249"/>
      <c r="V8" s="232" t="s">
        <v>46</v>
      </c>
      <c r="W8" s="257" t="s">
        <v>38</v>
      </c>
    </row>
    <row r="9" spans="1:23" ht="24.75" thickBot="1">
      <c r="A9" s="259"/>
      <c r="B9" s="243"/>
      <c r="C9" s="245"/>
      <c r="D9" s="182" t="s">
        <v>4</v>
      </c>
      <c r="E9" s="183" t="s">
        <v>40</v>
      </c>
      <c r="F9" s="184">
        <v>2012</v>
      </c>
      <c r="G9" s="184">
        <v>2013</v>
      </c>
      <c r="H9" s="184">
        <v>2014</v>
      </c>
      <c r="I9" s="185">
        <v>2015</v>
      </c>
      <c r="J9" s="186" t="s">
        <v>41</v>
      </c>
      <c r="K9" s="183" t="s">
        <v>190</v>
      </c>
      <c r="L9" s="183" t="s">
        <v>42</v>
      </c>
      <c r="M9" s="183" t="s">
        <v>41</v>
      </c>
      <c r="N9" s="183" t="s">
        <v>190</v>
      </c>
      <c r="O9" s="183" t="s">
        <v>42</v>
      </c>
      <c r="P9" s="183" t="s">
        <v>41</v>
      </c>
      <c r="Q9" s="183" t="s">
        <v>190</v>
      </c>
      <c r="R9" s="183" t="s">
        <v>42</v>
      </c>
      <c r="S9" s="183" t="s">
        <v>41</v>
      </c>
      <c r="T9" s="183" t="s">
        <v>190</v>
      </c>
      <c r="U9" s="183" t="s">
        <v>42</v>
      </c>
      <c r="V9" s="233"/>
      <c r="W9" s="258"/>
    </row>
    <row r="10" spans="1:23" ht="24" customHeight="1">
      <c r="A10" s="252" t="s">
        <v>204</v>
      </c>
      <c r="B10" s="166" t="s">
        <v>203</v>
      </c>
      <c r="C10" s="94" t="s">
        <v>136</v>
      </c>
      <c r="D10" s="167" t="s">
        <v>137</v>
      </c>
      <c r="E10" s="95">
        <v>30.5</v>
      </c>
      <c r="F10" s="95">
        <v>25</v>
      </c>
      <c r="G10" s="95">
        <v>50</v>
      </c>
      <c r="H10" s="95">
        <v>50</v>
      </c>
      <c r="I10" s="95">
        <v>25</v>
      </c>
      <c r="J10" s="96">
        <v>20000000</v>
      </c>
      <c r="K10" s="96">
        <v>0</v>
      </c>
      <c r="L10" s="96">
        <f>62000000+20000000</f>
        <v>82000000</v>
      </c>
      <c r="M10" s="96">
        <f>+J10*1.05</f>
        <v>21000000</v>
      </c>
      <c r="N10" s="96">
        <v>0</v>
      </c>
      <c r="O10" s="96">
        <f>+L10*1.05</f>
        <v>86100000</v>
      </c>
      <c r="P10" s="96">
        <f>+M10*1.05</f>
        <v>22050000</v>
      </c>
      <c r="Q10" s="96">
        <v>0</v>
      </c>
      <c r="R10" s="96">
        <f>+O10*1.05</f>
        <v>90405000</v>
      </c>
      <c r="S10" s="96">
        <f>+P10*1.05</f>
        <v>23152500</v>
      </c>
      <c r="T10" s="96">
        <v>0</v>
      </c>
      <c r="U10" s="96">
        <f>+R10*1.05</f>
        <v>94925250</v>
      </c>
      <c r="V10" s="99">
        <f>SUM(J10:U10)</f>
        <v>439632750</v>
      </c>
      <c r="W10" s="57">
        <f>+V10/$V$12</f>
        <v>1</v>
      </c>
    </row>
    <row r="11" spans="1:23" ht="24" customHeight="1" thickBot="1">
      <c r="A11" s="260"/>
      <c r="B11" s="168" t="s">
        <v>151</v>
      </c>
      <c r="C11" s="169"/>
      <c r="D11" s="169"/>
      <c r="E11" s="170"/>
      <c r="F11" s="170"/>
      <c r="G11" s="170"/>
      <c r="H11" s="170"/>
      <c r="I11" s="170"/>
      <c r="J11" s="97">
        <v>0</v>
      </c>
      <c r="K11" s="97">
        <v>0</v>
      </c>
      <c r="L11" s="97">
        <v>0</v>
      </c>
      <c r="M11" s="97">
        <v>0</v>
      </c>
      <c r="N11" s="97">
        <v>0</v>
      </c>
      <c r="O11" s="97">
        <v>0</v>
      </c>
      <c r="P11" s="97">
        <v>0</v>
      </c>
      <c r="Q11" s="97">
        <v>0</v>
      </c>
      <c r="R11" s="97">
        <v>0</v>
      </c>
      <c r="S11" s="97">
        <v>0</v>
      </c>
      <c r="T11" s="97"/>
      <c r="U11" s="97">
        <v>0</v>
      </c>
      <c r="V11" s="101">
        <v>0</v>
      </c>
      <c r="W11" s="61">
        <f>+V11/$V$12</f>
        <v>0</v>
      </c>
    </row>
    <row r="12" spans="1:23" s="51" customFormat="1" ht="30" customHeight="1" thickBot="1">
      <c r="A12" s="237" t="s">
        <v>39</v>
      </c>
      <c r="B12" s="238"/>
      <c r="C12" s="238"/>
      <c r="D12" s="238"/>
      <c r="E12" s="238"/>
      <c r="F12" s="238"/>
      <c r="G12" s="238"/>
      <c r="H12" s="238"/>
      <c r="I12" s="239"/>
      <c r="J12" s="69">
        <f aca="true" t="shared" si="0" ref="J12:W12">SUM(J10:J10)</f>
        <v>20000000</v>
      </c>
      <c r="K12" s="70">
        <f t="shared" si="0"/>
        <v>0</v>
      </c>
      <c r="L12" s="70">
        <f t="shared" si="0"/>
        <v>82000000</v>
      </c>
      <c r="M12" s="70">
        <f t="shared" si="0"/>
        <v>21000000</v>
      </c>
      <c r="N12" s="70">
        <f t="shared" si="0"/>
        <v>0</v>
      </c>
      <c r="O12" s="70">
        <f t="shared" si="0"/>
        <v>86100000</v>
      </c>
      <c r="P12" s="70">
        <f t="shared" si="0"/>
        <v>22050000</v>
      </c>
      <c r="Q12" s="70">
        <f t="shared" si="0"/>
        <v>0</v>
      </c>
      <c r="R12" s="70">
        <f t="shared" si="0"/>
        <v>90405000</v>
      </c>
      <c r="S12" s="70">
        <f t="shared" si="0"/>
        <v>23152500</v>
      </c>
      <c r="T12" s="70">
        <f t="shared" si="0"/>
        <v>0</v>
      </c>
      <c r="U12" s="70">
        <f t="shared" si="0"/>
        <v>94925250</v>
      </c>
      <c r="V12" s="70">
        <f t="shared" si="0"/>
        <v>439632750</v>
      </c>
      <c r="W12" s="72">
        <f t="shared" si="0"/>
        <v>1</v>
      </c>
    </row>
    <row r="15" spans="3:10" ht="12.75">
      <c r="C15" s="156">
        <f>+J12+L12</f>
        <v>102000000</v>
      </c>
      <c r="J15" s="156"/>
    </row>
    <row r="16" ht="12.75">
      <c r="C16" s="156">
        <f>+C15*1.05</f>
        <v>107100000</v>
      </c>
    </row>
    <row r="17" ht="12.75">
      <c r="C17" s="156">
        <f>+C16*1.05</f>
        <v>112455000</v>
      </c>
    </row>
    <row r="18" ht="12.75">
      <c r="C18" s="156">
        <f>+C17*1.05</f>
        <v>118077750</v>
      </c>
    </row>
  </sheetData>
  <sheetProtection/>
  <mergeCells count="19">
    <mergeCell ref="S8:U8"/>
    <mergeCell ref="V8:V9"/>
    <mergeCell ref="A1:W1"/>
    <mergeCell ref="A2:W2"/>
    <mergeCell ref="A3:W3"/>
    <mergeCell ref="A4:W4"/>
    <mergeCell ref="A5:W5"/>
    <mergeCell ref="A6:W6"/>
    <mergeCell ref="W8:W9"/>
    <mergeCell ref="A12:I12"/>
    <mergeCell ref="A10:A11"/>
    <mergeCell ref="A7:W7"/>
    <mergeCell ref="A8:A9"/>
    <mergeCell ref="B8:B9"/>
    <mergeCell ref="C8:C9"/>
    <mergeCell ref="D8:I8"/>
    <mergeCell ref="J8:L8"/>
    <mergeCell ref="M8:O8"/>
    <mergeCell ref="P8:R8"/>
  </mergeCells>
  <hyperlinks>
    <hyperlink ref="D10" r:id="rId1" display="Cobertura."/>
  </hyperlinks>
  <printOptions/>
  <pageMargins left="0.3937007874015748" right="0" top="0" bottom="0" header="0" footer="0"/>
  <pageSetup fitToHeight="1" fitToWidth="1" horizontalDpi="1200" verticalDpi="1200" orientation="landscape" paperSize="5" scale="6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W31"/>
  <sheetViews>
    <sheetView showGridLines="0" zoomScalePageLayoutView="0" workbookViewId="0" topLeftCell="A16">
      <selection activeCell="B36" sqref="B36"/>
    </sheetView>
  </sheetViews>
  <sheetFormatPr defaultColWidth="11.421875" defaultRowHeight="12.75"/>
  <cols>
    <col min="1" max="1" width="27.57421875" style="0" customWidth="1"/>
    <col min="2" max="2" width="30.00390625" style="0" bestFit="1" customWidth="1"/>
    <col min="3" max="3" width="30.57421875" style="0" bestFit="1" customWidth="1"/>
    <col min="4" max="4" width="18.00390625" style="0" bestFit="1" customWidth="1"/>
    <col min="5" max="5" width="10.7109375" style="0" bestFit="1" customWidth="1"/>
    <col min="6" max="9" width="4.8515625" style="0" bestFit="1" customWidth="1"/>
    <col min="10" max="10" width="12.57421875" style="0" bestFit="1" customWidth="1"/>
    <col min="11" max="11" width="5.140625" style="0" bestFit="1" customWidth="1"/>
    <col min="12" max="12" width="12.7109375" style="0" bestFit="1" customWidth="1"/>
    <col min="13" max="13" width="12.57421875" style="0" bestFit="1" customWidth="1"/>
    <col min="14" max="14" width="5.140625" style="0" bestFit="1" customWidth="1"/>
    <col min="15" max="15" width="11.57421875" style="0" bestFit="1" customWidth="1"/>
    <col min="16" max="16" width="12.57421875" style="0" bestFit="1" customWidth="1"/>
    <col min="17" max="17" width="5.140625" style="0" bestFit="1" customWidth="1"/>
    <col min="18" max="18" width="11.57421875" style="0" bestFit="1" customWidth="1"/>
    <col min="19" max="19" width="12.57421875" style="0" bestFit="1" customWidth="1"/>
    <col min="20" max="20" width="5.140625" style="0" bestFit="1" customWidth="1"/>
    <col min="21" max="21" width="11.57421875" style="0" bestFit="1" customWidth="1"/>
    <col min="22" max="22" width="14.140625" style="0" bestFit="1" customWidth="1"/>
    <col min="23" max="23" width="11.8515625" style="0" bestFit="1"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s="5" customFormat="1" ht="15">
      <c r="A2" s="254" t="s">
        <v>182</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43</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183</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6" t="s">
        <v>9</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120" customHeight="1">
      <c r="A6" s="229" t="s">
        <v>119</v>
      </c>
      <c r="B6" s="230"/>
      <c r="C6" s="230"/>
      <c r="D6" s="230"/>
      <c r="E6" s="230"/>
      <c r="F6" s="230"/>
      <c r="G6" s="230"/>
      <c r="H6" s="230"/>
      <c r="I6" s="230"/>
      <c r="J6" s="230"/>
      <c r="K6" s="230"/>
      <c r="L6" s="230"/>
      <c r="M6" s="230"/>
      <c r="N6" s="230"/>
      <c r="O6" s="230"/>
      <c r="P6" s="230"/>
      <c r="Q6" s="230"/>
      <c r="R6" s="230"/>
      <c r="S6" s="230"/>
      <c r="T6" s="230"/>
      <c r="U6" s="230"/>
      <c r="V6" s="230"/>
      <c r="W6" s="231"/>
    </row>
    <row r="7" spans="1:23" s="5" customFormat="1" ht="101.2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s="98" customFormat="1" ht="12">
      <c r="A8" s="264" t="s">
        <v>0</v>
      </c>
      <c r="B8" s="265" t="s">
        <v>1</v>
      </c>
      <c r="C8" s="266" t="s">
        <v>2</v>
      </c>
      <c r="D8" s="250" t="s">
        <v>3</v>
      </c>
      <c r="E8" s="242"/>
      <c r="F8" s="242"/>
      <c r="G8" s="242"/>
      <c r="H8" s="242"/>
      <c r="I8" s="251"/>
      <c r="J8" s="267" t="s">
        <v>5</v>
      </c>
      <c r="K8" s="268"/>
      <c r="L8" s="268"/>
      <c r="M8" s="268" t="s">
        <v>6</v>
      </c>
      <c r="N8" s="268"/>
      <c r="O8" s="268"/>
      <c r="P8" s="268" t="s">
        <v>7</v>
      </c>
      <c r="Q8" s="268"/>
      <c r="R8" s="268"/>
      <c r="S8" s="268" t="s">
        <v>8</v>
      </c>
      <c r="T8" s="268"/>
      <c r="U8" s="268"/>
      <c r="V8" s="270" t="s">
        <v>45</v>
      </c>
      <c r="W8" s="269" t="s">
        <v>38</v>
      </c>
    </row>
    <row r="9" spans="1:23" s="98" customFormat="1" ht="24.75" thickBot="1">
      <c r="A9" s="264"/>
      <c r="B9" s="265"/>
      <c r="C9" s="266"/>
      <c r="D9" s="182" t="s">
        <v>4</v>
      </c>
      <c r="E9" s="183" t="s">
        <v>40</v>
      </c>
      <c r="F9" s="184">
        <v>2012</v>
      </c>
      <c r="G9" s="184">
        <v>2013</v>
      </c>
      <c r="H9" s="184">
        <v>2014</v>
      </c>
      <c r="I9" s="185">
        <v>2015</v>
      </c>
      <c r="J9" s="186" t="s">
        <v>41</v>
      </c>
      <c r="K9" s="183" t="s">
        <v>190</v>
      </c>
      <c r="L9" s="183" t="s">
        <v>42</v>
      </c>
      <c r="M9" s="183" t="s">
        <v>41</v>
      </c>
      <c r="N9" s="183" t="s">
        <v>190</v>
      </c>
      <c r="O9" s="183" t="s">
        <v>42</v>
      </c>
      <c r="P9" s="183" t="s">
        <v>41</v>
      </c>
      <c r="Q9" s="183" t="s">
        <v>190</v>
      </c>
      <c r="R9" s="183" t="s">
        <v>42</v>
      </c>
      <c r="S9" s="183" t="s">
        <v>41</v>
      </c>
      <c r="T9" s="183" t="s">
        <v>190</v>
      </c>
      <c r="U9" s="183" t="s">
        <v>42</v>
      </c>
      <c r="V9" s="233"/>
      <c r="W9" s="258"/>
    </row>
    <row r="10" spans="1:23" s="98" customFormat="1" ht="25.5">
      <c r="A10" s="271" t="s">
        <v>113</v>
      </c>
      <c r="B10" s="113" t="s">
        <v>215</v>
      </c>
      <c r="C10" s="3" t="s">
        <v>223</v>
      </c>
      <c r="D10" s="158" t="s">
        <v>160</v>
      </c>
      <c r="E10" s="109">
        <v>575</v>
      </c>
      <c r="F10" s="109">
        <v>1000</v>
      </c>
      <c r="G10" s="109">
        <v>1000</v>
      </c>
      <c r="H10" s="109">
        <v>1000</v>
      </c>
      <c r="I10" s="109">
        <v>1000</v>
      </c>
      <c r="J10" s="53">
        <v>100000000</v>
      </c>
      <c r="K10" s="53">
        <v>0</v>
      </c>
      <c r="L10" s="53">
        <v>5000000</v>
      </c>
      <c r="M10" s="53">
        <f>+J10*1.05</f>
        <v>105000000</v>
      </c>
      <c r="N10" s="53">
        <f aca="true" t="shared" si="0" ref="M10:N14">+K10*1.05</f>
        <v>0</v>
      </c>
      <c r="O10" s="53">
        <f>+L10*1.05</f>
        <v>5250000</v>
      </c>
      <c r="P10" s="53">
        <f>+M10*1.05</f>
        <v>110250000</v>
      </c>
      <c r="Q10" s="53">
        <f aca="true" t="shared" si="1" ref="P10:Q21">+N10*1.05</f>
        <v>0</v>
      </c>
      <c r="R10" s="53">
        <f>+O10*1.05</f>
        <v>5512500</v>
      </c>
      <c r="S10" s="53">
        <f>+P10*1.05</f>
        <v>115762500</v>
      </c>
      <c r="T10" s="53">
        <f aca="true" t="shared" si="2" ref="S10:T21">+Q10*1.05</f>
        <v>0</v>
      </c>
      <c r="U10" s="53">
        <f aca="true" t="shared" si="3" ref="U10:U21">+R10*1.05</f>
        <v>5788125</v>
      </c>
      <c r="V10" s="56">
        <f aca="true" t="shared" si="4" ref="V10:V21">SUM(J10:U10)</f>
        <v>452563125</v>
      </c>
      <c r="W10" s="57">
        <f aca="true" t="shared" si="5" ref="W10:W21">+V10/$V$23</f>
        <v>0.23019551497609386</v>
      </c>
    </row>
    <row r="11" spans="1:23" s="98" customFormat="1" ht="36">
      <c r="A11" s="272"/>
      <c r="B11" s="114" t="s">
        <v>232</v>
      </c>
      <c r="C11" s="15" t="s">
        <v>231</v>
      </c>
      <c r="D11" s="159" t="s">
        <v>110</v>
      </c>
      <c r="E11" s="110">
        <v>30</v>
      </c>
      <c r="F11" s="110">
        <v>30</v>
      </c>
      <c r="G11" s="110">
        <v>30</v>
      </c>
      <c r="H11" s="110">
        <v>30</v>
      </c>
      <c r="I11" s="110">
        <v>30</v>
      </c>
      <c r="J11" s="54">
        <v>129800000</v>
      </c>
      <c r="K11" s="54">
        <v>0</v>
      </c>
      <c r="L11" s="54">
        <v>10000000</v>
      </c>
      <c r="M11" s="54">
        <f t="shared" si="0"/>
        <v>136290000</v>
      </c>
      <c r="N11" s="54">
        <f t="shared" si="0"/>
        <v>0</v>
      </c>
      <c r="O11" s="54">
        <f aca="true" t="shared" si="6" ref="O11:O21">+L11*1.05</f>
        <v>10500000</v>
      </c>
      <c r="P11" s="54">
        <f t="shared" si="1"/>
        <v>143104500</v>
      </c>
      <c r="Q11" s="54">
        <f t="shared" si="1"/>
        <v>0</v>
      </c>
      <c r="R11" s="54">
        <f aca="true" t="shared" si="7" ref="R11:R21">+O11*1.05</f>
        <v>11025000</v>
      </c>
      <c r="S11" s="54">
        <f t="shared" si="2"/>
        <v>150259725</v>
      </c>
      <c r="T11" s="54">
        <f t="shared" si="2"/>
        <v>0</v>
      </c>
      <c r="U11" s="54">
        <f t="shared" si="3"/>
        <v>11576250</v>
      </c>
      <c r="V11" s="58">
        <f t="shared" si="4"/>
        <v>602555475</v>
      </c>
      <c r="W11" s="59">
        <f t="shared" si="5"/>
        <v>0.306488885653885</v>
      </c>
    </row>
    <row r="12" spans="1:23" s="98" customFormat="1" ht="24">
      <c r="A12" s="272"/>
      <c r="B12" s="114" t="s">
        <v>111</v>
      </c>
      <c r="C12" s="15" t="s">
        <v>230</v>
      </c>
      <c r="D12" s="15" t="s">
        <v>109</v>
      </c>
      <c r="E12" s="110">
        <v>810</v>
      </c>
      <c r="F12" s="110">
        <v>500</v>
      </c>
      <c r="G12" s="110">
        <v>900</v>
      </c>
      <c r="H12" s="110">
        <v>900</v>
      </c>
      <c r="I12" s="110">
        <v>1200</v>
      </c>
      <c r="J12" s="54">
        <v>42500000</v>
      </c>
      <c r="K12" s="54">
        <v>0</v>
      </c>
      <c r="L12" s="54">
        <v>5000000</v>
      </c>
      <c r="M12" s="54">
        <f t="shared" si="0"/>
        <v>44625000</v>
      </c>
      <c r="N12" s="54">
        <f t="shared" si="0"/>
        <v>0</v>
      </c>
      <c r="O12" s="54">
        <f t="shared" si="6"/>
        <v>5250000</v>
      </c>
      <c r="P12" s="54">
        <f t="shared" si="1"/>
        <v>46856250</v>
      </c>
      <c r="Q12" s="54">
        <f t="shared" si="1"/>
        <v>0</v>
      </c>
      <c r="R12" s="54">
        <f t="shared" si="7"/>
        <v>5512500</v>
      </c>
      <c r="S12" s="54">
        <f t="shared" si="2"/>
        <v>49199062.5</v>
      </c>
      <c r="T12" s="54">
        <f t="shared" si="2"/>
        <v>0</v>
      </c>
      <c r="U12" s="54">
        <f t="shared" si="3"/>
        <v>5788125</v>
      </c>
      <c r="V12" s="58">
        <f t="shared" si="4"/>
        <v>204730937.5</v>
      </c>
      <c r="W12" s="59">
        <f t="shared" si="5"/>
        <v>0.10413606629870914</v>
      </c>
    </row>
    <row r="13" spans="1:23" s="98" customFormat="1" ht="24">
      <c r="A13" s="272"/>
      <c r="B13" s="114" t="s">
        <v>216</v>
      </c>
      <c r="C13" s="15" t="s">
        <v>127</v>
      </c>
      <c r="D13" s="15" t="s">
        <v>128</v>
      </c>
      <c r="E13" s="110">
        <v>0</v>
      </c>
      <c r="F13" s="110">
        <v>200</v>
      </c>
      <c r="G13" s="110">
        <v>700</v>
      </c>
      <c r="H13" s="110">
        <v>700</v>
      </c>
      <c r="I13" s="110">
        <v>500</v>
      </c>
      <c r="J13" s="54">
        <v>0</v>
      </c>
      <c r="K13" s="54">
        <v>0</v>
      </c>
      <c r="L13" s="54">
        <v>20000000</v>
      </c>
      <c r="M13" s="54">
        <f>+J13*1.05</f>
        <v>0</v>
      </c>
      <c r="N13" s="54">
        <f>+K13*1.05</f>
        <v>0</v>
      </c>
      <c r="O13" s="54">
        <f>+L13*1.05</f>
        <v>21000000</v>
      </c>
      <c r="P13" s="54">
        <f>+M13*1.05</f>
        <v>0</v>
      </c>
      <c r="Q13" s="54">
        <f t="shared" si="1"/>
        <v>0</v>
      </c>
      <c r="R13" s="54">
        <f>+O13*1.05</f>
        <v>22050000</v>
      </c>
      <c r="S13" s="54">
        <f t="shared" si="2"/>
        <v>0</v>
      </c>
      <c r="T13" s="54">
        <f t="shared" si="2"/>
        <v>0</v>
      </c>
      <c r="U13" s="54">
        <f>+R13*1.05</f>
        <v>23152500</v>
      </c>
      <c r="V13" s="58">
        <f t="shared" si="4"/>
        <v>86202500</v>
      </c>
      <c r="W13" s="59">
        <f t="shared" si="5"/>
        <v>0.04384676475735121</v>
      </c>
    </row>
    <row r="14" spans="1:23" s="98" customFormat="1" ht="24">
      <c r="A14" s="272"/>
      <c r="B14" s="114" t="s">
        <v>112</v>
      </c>
      <c r="C14" s="15"/>
      <c r="D14" s="15"/>
      <c r="E14" s="110"/>
      <c r="F14" s="110"/>
      <c r="G14" s="110"/>
      <c r="H14" s="110"/>
      <c r="I14" s="110"/>
      <c r="J14" s="54">
        <v>0</v>
      </c>
      <c r="K14" s="54">
        <v>0</v>
      </c>
      <c r="L14" s="54">
        <v>0</v>
      </c>
      <c r="M14" s="54">
        <f t="shared" si="0"/>
        <v>0</v>
      </c>
      <c r="N14" s="54">
        <f t="shared" si="0"/>
        <v>0</v>
      </c>
      <c r="O14" s="54">
        <f t="shared" si="6"/>
        <v>0</v>
      </c>
      <c r="P14" s="54">
        <f t="shared" si="1"/>
        <v>0</v>
      </c>
      <c r="Q14" s="54">
        <f t="shared" si="1"/>
        <v>0</v>
      </c>
      <c r="R14" s="54">
        <f t="shared" si="7"/>
        <v>0</v>
      </c>
      <c r="S14" s="54">
        <f t="shared" si="2"/>
        <v>0</v>
      </c>
      <c r="T14" s="54">
        <f t="shared" si="2"/>
        <v>0</v>
      </c>
      <c r="U14" s="54">
        <f t="shared" si="3"/>
        <v>0</v>
      </c>
      <c r="V14" s="58">
        <f t="shared" si="4"/>
        <v>0</v>
      </c>
      <c r="W14" s="59">
        <f t="shared" si="5"/>
        <v>0</v>
      </c>
    </row>
    <row r="15" spans="1:23" s="115" customFormat="1" ht="24">
      <c r="A15" s="272"/>
      <c r="B15" s="273" t="s">
        <v>118</v>
      </c>
      <c r="C15" s="26" t="s">
        <v>217</v>
      </c>
      <c r="D15" s="15" t="s">
        <v>116</v>
      </c>
      <c r="E15" s="110">
        <v>0</v>
      </c>
      <c r="F15" s="110">
        <v>2</v>
      </c>
      <c r="G15" s="110">
        <v>1</v>
      </c>
      <c r="H15" s="110">
        <v>1</v>
      </c>
      <c r="I15" s="110">
        <v>1</v>
      </c>
      <c r="J15" s="54">
        <v>45000000</v>
      </c>
      <c r="K15" s="54">
        <v>0</v>
      </c>
      <c r="L15" s="54">
        <v>0</v>
      </c>
      <c r="M15" s="117">
        <f>+(J15-5000000)*1.05</f>
        <v>42000000</v>
      </c>
      <c r="N15" s="54">
        <f aca="true" t="shared" si="8" ref="N15:N21">+K15*1.05</f>
        <v>0</v>
      </c>
      <c r="O15" s="54">
        <f t="shared" si="6"/>
        <v>0</v>
      </c>
      <c r="P15" s="117">
        <f>+(M15-10000000)*1.05</f>
        <v>33600000</v>
      </c>
      <c r="Q15" s="54">
        <f t="shared" si="1"/>
        <v>0</v>
      </c>
      <c r="R15" s="54">
        <f t="shared" si="7"/>
        <v>0</v>
      </c>
      <c r="S15" s="117">
        <f>+(P15-20000000)*1.05</f>
        <v>14280000</v>
      </c>
      <c r="T15" s="54">
        <f t="shared" si="2"/>
        <v>0</v>
      </c>
      <c r="U15" s="54">
        <f t="shared" si="3"/>
        <v>0</v>
      </c>
      <c r="V15" s="58">
        <f t="shared" si="4"/>
        <v>134880000</v>
      </c>
      <c r="W15" s="59">
        <f t="shared" si="5"/>
        <v>0.06860649784485985</v>
      </c>
    </row>
    <row r="16" spans="1:23" s="115" customFormat="1" ht="24">
      <c r="A16" s="272"/>
      <c r="B16" s="273"/>
      <c r="C16" s="26" t="s">
        <v>218</v>
      </c>
      <c r="D16" s="116" t="s">
        <v>120</v>
      </c>
      <c r="E16" s="110">
        <v>2</v>
      </c>
      <c r="F16" s="110">
        <v>1</v>
      </c>
      <c r="G16" s="110">
        <v>1</v>
      </c>
      <c r="H16" s="110">
        <v>1</v>
      </c>
      <c r="I16" s="110">
        <v>1</v>
      </c>
      <c r="J16" s="54">
        <v>60000000</v>
      </c>
      <c r="K16" s="54">
        <v>0</v>
      </c>
      <c r="L16" s="54">
        <v>0</v>
      </c>
      <c r="M16" s="117">
        <f>+(J16+20000000)*1.05</f>
        <v>84000000</v>
      </c>
      <c r="N16" s="54">
        <f t="shared" si="8"/>
        <v>0</v>
      </c>
      <c r="O16" s="54">
        <f t="shared" si="6"/>
        <v>0</v>
      </c>
      <c r="P16" s="117">
        <f>+(M16+20000000)*1.05</f>
        <v>109200000</v>
      </c>
      <c r="Q16" s="54">
        <f t="shared" si="1"/>
        <v>0</v>
      </c>
      <c r="R16" s="54">
        <f t="shared" si="7"/>
        <v>0</v>
      </c>
      <c r="S16" s="117">
        <f>+(P16+20000000)*1.05</f>
        <v>135660000</v>
      </c>
      <c r="T16" s="54">
        <f t="shared" si="2"/>
        <v>0</v>
      </c>
      <c r="U16" s="54">
        <f t="shared" si="3"/>
        <v>0</v>
      </c>
      <c r="V16" s="58">
        <f t="shared" si="4"/>
        <v>388860000</v>
      </c>
      <c r="W16" s="59">
        <f t="shared" si="5"/>
        <v>0.19779302158920672</v>
      </c>
    </row>
    <row r="17" spans="1:23" s="115" customFormat="1" ht="24">
      <c r="A17" s="272"/>
      <c r="B17" s="273"/>
      <c r="C17" s="26" t="s">
        <v>219</v>
      </c>
      <c r="D17" s="116" t="s">
        <v>121</v>
      </c>
      <c r="E17" s="110">
        <v>0</v>
      </c>
      <c r="F17" s="110">
        <v>6</v>
      </c>
      <c r="G17" s="110">
        <v>0</v>
      </c>
      <c r="H17" s="110">
        <v>0</v>
      </c>
      <c r="I17" s="110">
        <v>0</v>
      </c>
      <c r="J17" s="54">
        <v>10000000</v>
      </c>
      <c r="K17" s="54">
        <v>0</v>
      </c>
      <c r="L17" s="54">
        <v>0</v>
      </c>
      <c r="M17" s="117">
        <v>0</v>
      </c>
      <c r="N17" s="54">
        <f t="shared" si="8"/>
        <v>0</v>
      </c>
      <c r="O17" s="54">
        <f t="shared" si="6"/>
        <v>0</v>
      </c>
      <c r="P17" s="117">
        <f>+M17*1.05</f>
        <v>0</v>
      </c>
      <c r="Q17" s="54">
        <f t="shared" si="1"/>
        <v>0</v>
      </c>
      <c r="R17" s="54">
        <f t="shared" si="7"/>
        <v>0</v>
      </c>
      <c r="S17" s="117">
        <f>+P17*1.05</f>
        <v>0</v>
      </c>
      <c r="T17" s="54">
        <f t="shared" si="2"/>
        <v>0</v>
      </c>
      <c r="U17" s="54">
        <f t="shared" si="3"/>
        <v>0</v>
      </c>
      <c r="V17" s="58">
        <f t="shared" si="4"/>
        <v>10000000</v>
      </c>
      <c r="W17" s="59">
        <f t="shared" si="5"/>
        <v>0.00508648412254299</v>
      </c>
    </row>
    <row r="18" spans="1:23" s="115" customFormat="1" ht="24">
      <c r="A18" s="272"/>
      <c r="B18" s="273"/>
      <c r="C18" s="118" t="s">
        <v>220</v>
      </c>
      <c r="D18" s="15" t="s">
        <v>117</v>
      </c>
      <c r="E18" s="110">
        <v>0</v>
      </c>
      <c r="F18" s="110">
        <v>4</v>
      </c>
      <c r="G18" s="110">
        <v>4</v>
      </c>
      <c r="H18" s="110">
        <v>4</v>
      </c>
      <c r="I18" s="110">
        <v>4</v>
      </c>
      <c r="J18" s="54">
        <v>5000000</v>
      </c>
      <c r="K18" s="54">
        <v>0</v>
      </c>
      <c r="L18" s="54">
        <v>0</v>
      </c>
      <c r="M18" s="117">
        <f>+J18*1.05</f>
        <v>5250000</v>
      </c>
      <c r="N18" s="54">
        <f t="shared" si="8"/>
        <v>0</v>
      </c>
      <c r="O18" s="54">
        <f t="shared" si="6"/>
        <v>0</v>
      </c>
      <c r="P18" s="117">
        <f>+M18*1.05</f>
        <v>5512500</v>
      </c>
      <c r="Q18" s="54">
        <f t="shared" si="1"/>
        <v>0</v>
      </c>
      <c r="R18" s="54">
        <f t="shared" si="7"/>
        <v>0</v>
      </c>
      <c r="S18" s="117">
        <f>+P18*1.05</f>
        <v>5788125</v>
      </c>
      <c r="T18" s="54">
        <f t="shared" si="2"/>
        <v>0</v>
      </c>
      <c r="U18" s="54">
        <f t="shared" si="3"/>
        <v>0</v>
      </c>
      <c r="V18" s="58">
        <f t="shared" si="4"/>
        <v>21550625</v>
      </c>
      <c r="W18" s="59">
        <f t="shared" si="5"/>
        <v>0.010961691189337803</v>
      </c>
    </row>
    <row r="19" spans="1:23" s="115" customFormat="1" ht="24">
      <c r="A19" s="272"/>
      <c r="B19" s="273"/>
      <c r="C19" s="118" t="s">
        <v>222</v>
      </c>
      <c r="D19" s="15" t="s">
        <v>221</v>
      </c>
      <c r="E19" s="110">
        <v>10</v>
      </c>
      <c r="F19" s="110">
        <v>7</v>
      </c>
      <c r="G19" s="110">
        <v>9</v>
      </c>
      <c r="H19" s="110">
        <v>10</v>
      </c>
      <c r="I19" s="110">
        <v>10</v>
      </c>
      <c r="J19" s="54">
        <v>15000000</v>
      </c>
      <c r="K19" s="54">
        <v>0</v>
      </c>
      <c r="L19" s="54">
        <v>0</v>
      </c>
      <c r="M19" s="117">
        <f>+J19*1.05</f>
        <v>15750000</v>
      </c>
      <c r="N19" s="54">
        <f t="shared" si="8"/>
        <v>0</v>
      </c>
      <c r="O19" s="54">
        <f t="shared" si="6"/>
        <v>0</v>
      </c>
      <c r="P19" s="117">
        <f>+M19*1.05</f>
        <v>16537500</v>
      </c>
      <c r="Q19" s="54">
        <f t="shared" si="1"/>
        <v>0</v>
      </c>
      <c r="R19" s="54">
        <f t="shared" si="7"/>
        <v>0</v>
      </c>
      <c r="S19" s="117">
        <f>+P19*1.05</f>
        <v>17364375</v>
      </c>
      <c r="T19" s="54">
        <f t="shared" si="2"/>
        <v>0</v>
      </c>
      <c r="U19" s="54">
        <f t="shared" si="3"/>
        <v>0</v>
      </c>
      <c r="V19" s="58">
        <f t="shared" si="4"/>
        <v>64651875</v>
      </c>
      <c r="W19" s="59">
        <f t="shared" si="5"/>
        <v>0.03288507356801341</v>
      </c>
    </row>
    <row r="20" spans="1:23" s="115" customFormat="1" ht="12">
      <c r="A20" s="211" t="s">
        <v>229</v>
      </c>
      <c r="B20" s="212"/>
      <c r="C20" s="213"/>
      <c r="D20" s="214"/>
      <c r="E20" s="215"/>
      <c r="F20" s="215"/>
      <c r="G20" s="215"/>
      <c r="H20" s="215"/>
      <c r="I20" s="215"/>
      <c r="J20" s="216"/>
      <c r="K20" s="216"/>
      <c r="L20" s="216"/>
      <c r="M20" s="217"/>
      <c r="N20" s="216"/>
      <c r="O20" s="216"/>
      <c r="P20" s="217"/>
      <c r="Q20" s="216"/>
      <c r="R20" s="216"/>
      <c r="S20" s="217"/>
      <c r="T20" s="216"/>
      <c r="U20" s="216"/>
      <c r="V20" s="197"/>
      <c r="W20" s="198"/>
    </row>
    <row r="21" spans="1:23" s="98" customFormat="1" ht="12.75" thickBot="1">
      <c r="A21" s="111" t="s">
        <v>228</v>
      </c>
      <c r="B21" s="23"/>
      <c r="C21" s="102"/>
      <c r="D21" s="24"/>
      <c r="E21" s="102"/>
      <c r="F21" s="102"/>
      <c r="G21" s="102"/>
      <c r="H21" s="102"/>
      <c r="I21" s="103"/>
      <c r="J21" s="55">
        <v>0</v>
      </c>
      <c r="K21" s="55">
        <v>0</v>
      </c>
      <c r="L21" s="55">
        <v>0</v>
      </c>
      <c r="M21" s="55">
        <v>0</v>
      </c>
      <c r="N21" s="55">
        <f t="shared" si="8"/>
        <v>0</v>
      </c>
      <c r="O21" s="55">
        <f t="shared" si="6"/>
        <v>0</v>
      </c>
      <c r="P21" s="55"/>
      <c r="Q21" s="55">
        <f t="shared" si="1"/>
        <v>0</v>
      </c>
      <c r="R21" s="55">
        <f t="shared" si="7"/>
        <v>0</v>
      </c>
      <c r="S21" s="55">
        <v>0</v>
      </c>
      <c r="T21" s="55">
        <f t="shared" si="2"/>
        <v>0</v>
      </c>
      <c r="U21" s="55">
        <f t="shared" si="3"/>
        <v>0</v>
      </c>
      <c r="V21" s="60">
        <f t="shared" si="4"/>
        <v>0</v>
      </c>
      <c r="W21" s="61">
        <f t="shared" si="5"/>
        <v>0</v>
      </c>
    </row>
    <row r="22" spans="1:23" s="98" customFormat="1" ht="36.75" thickBot="1">
      <c r="A22" s="111" t="s">
        <v>114</v>
      </c>
      <c r="B22" s="23" t="s">
        <v>115</v>
      </c>
      <c r="C22" s="102"/>
      <c r="D22" s="24"/>
      <c r="E22" s="102"/>
      <c r="F22" s="102"/>
      <c r="G22" s="102"/>
      <c r="H22" s="102"/>
      <c r="I22" s="103"/>
      <c r="J22" s="55">
        <v>0</v>
      </c>
      <c r="K22" s="55">
        <v>0</v>
      </c>
      <c r="L22" s="55">
        <v>0</v>
      </c>
      <c r="M22" s="55">
        <v>0</v>
      </c>
      <c r="N22" s="55">
        <f>+K22*1.05</f>
        <v>0</v>
      </c>
      <c r="O22" s="55">
        <f>+L22*1.05</f>
        <v>0</v>
      </c>
      <c r="P22" s="55"/>
      <c r="Q22" s="55">
        <f>+N22*1.05</f>
        <v>0</v>
      </c>
      <c r="R22" s="55">
        <f>+O22*1.05</f>
        <v>0</v>
      </c>
      <c r="S22" s="55">
        <v>0</v>
      </c>
      <c r="T22" s="55">
        <f>+Q22*1.05</f>
        <v>0</v>
      </c>
      <c r="U22" s="55">
        <f>+R22*1.05</f>
        <v>0</v>
      </c>
      <c r="V22" s="60">
        <f>SUM(J22:U22)</f>
        <v>0</v>
      </c>
      <c r="W22" s="61">
        <f>+V22/$V$23</f>
        <v>0</v>
      </c>
    </row>
    <row r="23" spans="1:23" s="51" customFormat="1" ht="30" customHeight="1" thickBot="1">
      <c r="A23" s="237" t="s">
        <v>39</v>
      </c>
      <c r="B23" s="238"/>
      <c r="C23" s="238"/>
      <c r="D23" s="238"/>
      <c r="E23" s="238"/>
      <c r="F23" s="238"/>
      <c r="G23" s="238"/>
      <c r="H23" s="238"/>
      <c r="I23" s="238"/>
      <c r="J23" s="69">
        <f>SUM(J10:J21)</f>
        <v>407300000</v>
      </c>
      <c r="K23" s="70">
        <f>SUM(K10:K14)</f>
        <v>0</v>
      </c>
      <c r="L23" s="70">
        <f>SUM(L10:L21)</f>
        <v>40000000</v>
      </c>
      <c r="M23" s="70">
        <f>SUM(M10:M21)</f>
        <v>432915000</v>
      </c>
      <c r="N23" s="70">
        <f>SUM(N10:N14)</f>
        <v>0</v>
      </c>
      <c r="O23" s="70">
        <f>SUM(O10:O21)</f>
        <v>42000000</v>
      </c>
      <c r="P23" s="70">
        <f>SUM(P10:P21)</f>
        <v>465060750</v>
      </c>
      <c r="Q23" s="70">
        <f>SUM(Q10:Q14)</f>
        <v>0</v>
      </c>
      <c r="R23" s="70">
        <f>SUM(R10:R21)</f>
        <v>44100000</v>
      </c>
      <c r="S23" s="70">
        <f>SUM(S10:S21)</f>
        <v>488313787.5</v>
      </c>
      <c r="T23" s="70">
        <f>SUM(T10:T14)</f>
        <v>0</v>
      </c>
      <c r="U23" s="70">
        <f>SUM(U10:U21)</f>
        <v>46305000</v>
      </c>
      <c r="V23" s="70">
        <f>SUM(V10:V21)</f>
        <v>1965994537.5</v>
      </c>
      <c r="W23" s="72">
        <f>SUM(W10:W21)</f>
        <v>1</v>
      </c>
    </row>
    <row r="26" spans="3:16" ht="12.75">
      <c r="C26" s="156">
        <f>+J23+L23</f>
        <v>447300000</v>
      </c>
      <c r="J26" s="156"/>
      <c r="L26" s="156"/>
      <c r="M26" s="156"/>
      <c r="P26" s="156"/>
    </row>
    <row r="27" spans="3:16" ht="12.75">
      <c r="C27" s="201">
        <f>+(C26+5000000)*1.05</f>
        <v>474915000</v>
      </c>
      <c r="D27" s="156"/>
      <c r="E27" s="156"/>
      <c r="I27" s="201"/>
      <c r="J27" s="156"/>
      <c r="L27" s="156"/>
      <c r="P27" s="156"/>
    </row>
    <row r="28" spans="3:10" ht="12.75">
      <c r="C28" s="201">
        <f>+(C27+10000000)*1.05</f>
        <v>509160750</v>
      </c>
      <c r="I28" s="156"/>
      <c r="J28" s="156"/>
    </row>
    <row r="29" spans="3:10" ht="12.75">
      <c r="C29" s="201">
        <f>+C28*1.05</f>
        <v>534618787.5</v>
      </c>
      <c r="I29" s="156"/>
      <c r="J29" s="156"/>
    </row>
    <row r="30" spans="9:13" ht="12.75">
      <c r="I30" s="156"/>
      <c r="J30" s="5"/>
      <c r="M30" s="5"/>
    </row>
    <row r="31" ht="12.75">
      <c r="J31" s="156"/>
    </row>
  </sheetData>
  <sheetProtection/>
  <mergeCells count="20">
    <mergeCell ref="P8:R8"/>
    <mergeCell ref="S8:U8"/>
    <mergeCell ref="V8:V9"/>
    <mergeCell ref="A10:A19"/>
    <mergeCell ref="B15:B19"/>
    <mergeCell ref="A1:W1"/>
    <mergeCell ref="A2:W2"/>
    <mergeCell ref="A3:W3"/>
    <mergeCell ref="A4:W4"/>
    <mergeCell ref="A5:W5"/>
    <mergeCell ref="A6:W6"/>
    <mergeCell ref="A7:W7"/>
    <mergeCell ref="A23:I23"/>
    <mergeCell ref="A8:A9"/>
    <mergeCell ref="B8:B9"/>
    <mergeCell ref="C8:C9"/>
    <mergeCell ref="D8:I8"/>
    <mergeCell ref="J8:L8"/>
    <mergeCell ref="M8:O8"/>
    <mergeCell ref="W8:W9"/>
  </mergeCells>
  <hyperlinks>
    <hyperlink ref="D10" r:id="rId1" display="Metros cuadrados repavimentados."/>
    <hyperlink ref="D11" r:id="rId2" display="Mantenimiento vias rurales"/>
  </hyperlinks>
  <printOptions/>
  <pageMargins left="0.3937007874015748" right="0" top="0" bottom="0" header="0" footer="0"/>
  <pageSetup fitToHeight="1" fitToWidth="1" horizontalDpi="1200" verticalDpi="1200" orientation="landscape" paperSize="5" scale="64"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W32"/>
  <sheetViews>
    <sheetView showGridLines="0" zoomScalePageLayoutView="0" workbookViewId="0" topLeftCell="A20">
      <selection activeCell="B45" activeCellId="1" sqref="A34:E38 B45"/>
    </sheetView>
  </sheetViews>
  <sheetFormatPr defaultColWidth="11.421875" defaultRowHeight="12.75"/>
  <cols>
    <col min="1" max="2" width="30.7109375" style="0" customWidth="1"/>
    <col min="3" max="3" width="26.140625" style="0" customWidth="1"/>
    <col min="4" max="4" width="14.28125" style="0" customWidth="1"/>
    <col min="5" max="5" width="5.140625" style="0" bestFit="1" customWidth="1"/>
    <col min="6" max="9" width="4.421875" style="0" bestFit="1" customWidth="1"/>
    <col min="10" max="10" width="12.28125" style="0" bestFit="1" customWidth="1"/>
    <col min="11" max="11" width="5.140625" style="0" bestFit="1" customWidth="1"/>
    <col min="12" max="13" width="11.57421875" style="0" bestFit="1" customWidth="1"/>
    <col min="14" max="14" width="5.140625" style="0" bestFit="1" customWidth="1"/>
    <col min="15" max="16" width="11.57421875" style="0" bestFit="1" customWidth="1"/>
    <col min="17" max="17" width="5.140625" style="0" bestFit="1" customWidth="1"/>
    <col min="18" max="19" width="11.57421875" style="0" bestFit="1" customWidth="1"/>
    <col min="20" max="20" width="5.140625" style="0" bestFit="1" customWidth="1"/>
    <col min="21" max="21" width="11.57421875" style="0" bestFit="1" customWidth="1"/>
    <col min="22" max="22" width="12.57421875" style="0" bestFit="1" customWidth="1"/>
    <col min="23" max="23" width="11.8515625" style="0" bestFit="1"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s="5" customFormat="1" ht="15">
      <c r="A2" s="254" t="s">
        <v>184</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175</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185</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9" t="s">
        <v>62</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138" customHeight="1">
      <c r="A6" s="229" t="s">
        <v>176</v>
      </c>
      <c r="B6" s="230"/>
      <c r="C6" s="230"/>
      <c r="D6" s="230"/>
      <c r="E6" s="230"/>
      <c r="F6" s="230"/>
      <c r="G6" s="230"/>
      <c r="H6" s="230"/>
      <c r="I6" s="230"/>
      <c r="J6" s="230"/>
      <c r="K6" s="230"/>
      <c r="L6" s="230"/>
      <c r="M6" s="230"/>
      <c r="N6" s="230"/>
      <c r="O6" s="230"/>
      <c r="P6" s="230"/>
      <c r="Q6" s="230"/>
      <c r="R6" s="230"/>
      <c r="S6" s="230"/>
      <c r="T6" s="230"/>
      <c r="U6" s="230"/>
      <c r="V6" s="230"/>
      <c r="W6" s="231"/>
    </row>
    <row r="7" spans="1:23" s="5" customFormat="1" ht="102"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ht="12.75">
      <c r="A8" s="283" t="s">
        <v>0</v>
      </c>
      <c r="B8" s="274" t="s">
        <v>1</v>
      </c>
      <c r="C8" s="280" t="s">
        <v>2</v>
      </c>
      <c r="D8" s="277" t="s">
        <v>4</v>
      </c>
      <c r="E8" s="274" t="s">
        <v>3</v>
      </c>
      <c r="F8" s="274"/>
      <c r="G8" s="274"/>
      <c r="H8" s="274"/>
      <c r="I8" s="279"/>
      <c r="J8" s="267" t="s">
        <v>5</v>
      </c>
      <c r="K8" s="268"/>
      <c r="L8" s="268"/>
      <c r="M8" s="268" t="s">
        <v>6</v>
      </c>
      <c r="N8" s="268"/>
      <c r="O8" s="268"/>
      <c r="P8" s="268" t="s">
        <v>7</v>
      </c>
      <c r="Q8" s="268"/>
      <c r="R8" s="268"/>
      <c r="S8" s="268" t="s">
        <v>8</v>
      </c>
      <c r="T8" s="268"/>
      <c r="U8" s="268"/>
      <c r="V8" s="270" t="s">
        <v>46</v>
      </c>
      <c r="W8" s="269" t="s">
        <v>38</v>
      </c>
    </row>
    <row r="9" spans="1:23" ht="24.75" thickBot="1">
      <c r="A9" s="259"/>
      <c r="B9" s="243"/>
      <c r="C9" s="245"/>
      <c r="D9" s="278"/>
      <c r="E9" s="183" t="s">
        <v>40</v>
      </c>
      <c r="F9" s="184">
        <v>2012</v>
      </c>
      <c r="G9" s="184">
        <v>2013</v>
      </c>
      <c r="H9" s="184">
        <v>2014</v>
      </c>
      <c r="I9" s="185">
        <v>2015</v>
      </c>
      <c r="J9" s="186" t="s">
        <v>41</v>
      </c>
      <c r="K9" s="183" t="s">
        <v>190</v>
      </c>
      <c r="L9" s="183" t="s">
        <v>42</v>
      </c>
      <c r="M9" s="183" t="s">
        <v>41</v>
      </c>
      <c r="N9" s="183" t="s">
        <v>190</v>
      </c>
      <c r="O9" s="183" t="s">
        <v>42</v>
      </c>
      <c r="P9" s="183" t="s">
        <v>41</v>
      </c>
      <c r="Q9" s="183" t="s">
        <v>190</v>
      </c>
      <c r="R9" s="183" t="s">
        <v>42</v>
      </c>
      <c r="S9" s="183" t="s">
        <v>41</v>
      </c>
      <c r="T9" s="183" t="s">
        <v>190</v>
      </c>
      <c r="U9" s="183" t="s">
        <v>42</v>
      </c>
      <c r="V9" s="233"/>
      <c r="W9" s="258"/>
    </row>
    <row r="10" spans="1:23" ht="24">
      <c r="A10" s="275" t="s">
        <v>22</v>
      </c>
      <c r="B10" s="30" t="s">
        <v>23</v>
      </c>
      <c r="C10" s="32" t="s">
        <v>164</v>
      </c>
      <c r="D10" s="33" t="s">
        <v>161</v>
      </c>
      <c r="E10" s="34">
        <v>130</v>
      </c>
      <c r="F10" s="34">
        <v>130</v>
      </c>
      <c r="G10" s="34">
        <v>130</v>
      </c>
      <c r="H10" s="34">
        <v>130</v>
      </c>
      <c r="I10" s="34">
        <v>130</v>
      </c>
      <c r="J10" s="18">
        <v>19200000</v>
      </c>
      <c r="K10" s="18">
        <v>0</v>
      </c>
      <c r="L10" s="53">
        <v>0</v>
      </c>
      <c r="M10" s="53">
        <f aca="true" t="shared" si="0" ref="M10:U10">+J10*1.05</f>
        <v>20160000</v>
      </c>
      <c r="N10" s="53">
        <f t="shared" si="0"/>
        <v>0</v>
      </c>
      <c r="O10" s="53">
        <f t="shared" si="0"/>
        <v>0</v>
      </c>
      <c r="P10" s="53">
        <f t="shared" si="0"/>
        <v>21168000</v>
      </c>
      <c r="Q10" s="53">
        <f t="shared" si="0"/>
        <v>0</v>
      </c>
      <c r="R10" s="53">
        <f t="shared" si="0"/>
        <v>0</v>
      </c>
      <c r="S10" s="53">
        <f t="shared" si="0"/>
        <v>22226400</v>
      </c>
      <c r="T10" s="53">
        <f t="shared" si="0"/>
        <v>0</v>
      </c>
      <c r="U10" s="53">
        <f t="shared" si="0"/>
        <v>0</v>
      </c>
      <c r="V10" s="56">
        <f>+SUM(J10:U10)</f>
        <v>82754400</v>
      </c>
      <c r="W10" s="57">
        <f>+V10/$V$22</f>
        <v>0.20020855057351408</v>
      </c>
    </row>
    <row r="11" spans="1:23" ht="25.5">
      <c r="A11" s="276"/>
      <c r="B11" s="46" t="s">
        <v>24</v>
      </c>
      <c r="C11" s="28" t="s">
        <v>163</v>
      </c>
      <c r="D11" s="160" t="s">
        <v>162</v>
      </c>
      <c r="E11" s="35">
        <v>30</v>
      </c>
      <c r="F11" s="35">
        <v>30</v>
      </c>
      <c r="G11" s="35">
        <v>30</v>
      </c>
      <c r="H11" s="35">
        <v>30</v>
      </c>
      <c r="I11" s="35">
        <v>30</v>
      </c>
      <c r="J11" s="17">
        <v>3000000</v>
      </c>
      <c r="K11" s="17">
        <v>0</v>
      </c>
      <c r="L11" s="54">
        <v>0</v>
      </c>
      <c r="M11" s="54">
        <f aca="true" t="shared" si="1" ref="M11:M18">+J11*1.05</f>
        <v>3150000</v>
      </c>
      <c r="N11" s="54">
        <f aca="true" t="shared" si="2" ref="N11:N18">+K11*1.05</f>
        <v>0</v>
      </c>
      <c r="O11" s="54">
        <f aca="true" t="shared" si="3" ref="O11:O18">+L11*1.05</f>
        <v>0</v>
      </c>
      <c r="P11" s="54">
        <f aca="true" t="shared" si="4" ref="P11:P18">+M11*1.05</f>
        <v>3307500</v>
      </c>
      <c r="Q11" s="54">
        <f aca="true" t="shared" si="5" ref="Q11:Q18">+N11*1.05</f>
        <v>0</v>
      </c>
      <c r="R11" s="54">
        <f aca="true" t="shared" si="6" ref="R11:R18">+O11*1.05</f>
        <v>0</v>
      </c>
      <c r="S11" s="54">
        <f aca="true" t="shared" si="7" ref="S11:S18">+P11*1.05</f>
        <v>3472875</v>
      </c>
      <c r="T11" s="54">
        <f aca="true" t="shared" si="8" ref="T11:T18">+Q11*1.05</f>
        <v>0</v>
      </c>
      <c r="U11" s="54">
        <f aca="true" t="shared" si="9" ref="U11:U18">+R11*1.05</f>
        <v>0</v>
      </c>
      <c r="V11" s="58">
        <f aca="true" t="shared" si="10" ref="V11:V21">+SUM(J11:U11)</f>
        <v>12930375</v>
      </c>
      <c r="W11" s="59">
        <f aca="true" t="shared" si="11" ref="W11:W18">+V11/$V$22</f>
        <v>0.03128258602711158</v>
      </c>
    </row>
    <row r="12" spans="1:23" ht="24">
      <c r="A12" s="276"/>
      <c r="B12" s="48" t="s">
        <v>63</v>
      </c>
      <c r="C12" s="27" t="s">
        <v>67</v>
      </c>
      <c r="D12" s="42" t="s">
        <v>25</v>
      </c>
      <c r="E12" s="35">
        <v>2</v>
      </c>
      <c r="F12" s="35">
        <v>2</v>
      </c>
      <c r="G12" s="35">
        <v>2</v>
      </c>
      <c r="H12" s="35">
        <v>2</v>
      </c>
      <c r="I12" s="35">
        <v>2</v>
      </c>
      <c r="J12" s="17">
        <v>7000000</v>
      </c>
      <c r="K12" s="17"/>
      <c r="L12" s="17">
        <v>3000000</v>
      </c>
      <c r="M12" s="54">
        <f t="shared" si="1"/>
        <v>7350000</v>
      </c>
      <c r="N12" s="54">
        <f t="shared" si="2"/>
        <v>0</v>
      </c>
      <c r="O12" s="54">
        <f t="shared" si="3"/>
        <v>3150000</v>
      </c>
      <c r="P12" s="54">
        <f t="shared" si="4"/>
        <v>7717500</v>
      </c>
      <c r="Q12" s="54">
        <f t="shared" si="5"/>
        <v>0</v>
      </c>
      <c r="R12" s="54">
        <f t="shared" si="6"/>
        <v>3307500</v>
      </c>
      <c r="S12" s="54">
        <f t="shared" si="7"/>
        <v>8103375</v>
      </c>
      <c r="T12" s="54">
        <f t="shared" si="8"/>
        <v>0</v>
      </c>
      <c r="U12" s="54">
        <f t="shared" si="9"/>
        <v>3472875</v>
      </c>
      <c r="V12" s="58">
        <f t="shared" si="10"/>
        <v>43101250</v>
      </c>
      <c r="W12" s="59">
        <f t="shared" si="11"/>
        <v>0.10427528675703858</v>
      </c>
    </row>
    <row r="13" spans="1:23" ht="60">
      <c r="A13" s="41" t="s">
        <v>26</v>
      </c>
      <c r="B13" s="29" t="s">
        <v>27</v>
      </c>
      <c r="C13" s="28" t="s">
        <v>64</v>
      </c>
      <c r="D13" s="28" t="s">
        <v>28</v>
      </c>
      <c r="E13" s="35">
        <v>0</v>
      </c>
      <c r="F13" s="35">
        <v>20</v>
      </c>
      <c r="G13" s="35">
        <v>20</v>
      </c>
      <c r="H13" s="35">
        <v>20</v>
      </c>
      <c r="I13" s="35">
        <v>20</v>
      </c>
      <c r="J13" s="17">
        <f>4000000+4000000</f>
        <v>8000000</v>
      </c>
      <c r="K13" s="17">
        <v>0</v>
      </c>
      <c r="L13" s="54">
        <v>0</v>
      </c>
      <c r="M13" s="54">
        <f t="shared" si="1"/>
        <v>8400000</v>
      </c>
      <c r="N13" s="54">
        <f t="shared" si="2"/>
        <v>0</v>
      </c>
      <c r="O13" s="54">
        <f t="shared" si="3"/>
        <v>0</v>
      </c>
      <c r="P13" s="54">
        <f t="shared" si="4"/>
        <v>8820000</v>
      </c>
      <c r="Q13" s="54">
        <f t="shared" si="5"/>
        <v>0</v>
      </c>
      <c r="R13" s="54">
        <f t="shared" si="6"/>
        <v>0</v>
      </c>
      <c r="S13" s="54">
        <f t="shared" si="7"/>
        <v>9261000</v>
      </c>
      <c r="T13" s="54">
        <f t="shared" si="8"/>
        <v>0</v>
      </c>
      <c r="U13" s="54">
        <f t="shared" si="9"/>
        <v>0</v>
      </c>
      <c r="V13" s="58">
        <f t="shared" si="10"/>
        <v>34481000</v>
      </c>
      <c r="W13" s="59">
        <f t="shared" si="11"/>
        <v>0.08342022940563086</v>
      </c>
    </row>
    <row r="14" spans="1:23" ht="51">
      <c r="A14" s="41" t="s">
        <v>29</v>
      </c>
      <c r="B14" s="31" t="s">
        <v>30</v>
      </c>
      <c r="C14" s="28" t="s">
        <v>69</v>
      </c>
      <c r="D14" s="160" t="s">
        <v>31</v>
      </c>
      <c r="E14" s="35">
        <v>50</v>
      </c>
      <c r="F14" s="35">
        <v>250</v>
      </c>
      <c r="G14" s="35">
        <v>250</v>
      </c>
      <c r="H14" s="35">
        <v>500</v>
      </c>
      <c r="I14" s="35">
        <v>500</v>
      </c>
      <c r="J14" s="17">
        <v>14700000</v>
      </c>
      <c r="K14" s="17">
        <v>0</v>
      </c>
      <c r="L14" s="54">
        <v>0</v>
      </c>
      <c r="M14" s="54">
        <f t="shared" si="1"/>
        <v>15435000</v>
      </c>
      <c r="N14" s="54">
        <f t="shared" si="2"/>
        <v>0</v>
      </c>
      <c r="O14" s="54">
        <f t="shared" si="3"/>
        <v>0</v>
      </c>
      <c r="P14" s="54">
        <f t="shared" si="4"/>
        <v>16206750</v>
      </c>
      <c r="Q14" s="54">
        <f t="shared" si="5"/>
        <v>0</v>
      </c>
      <c r="R14" s="54">
        <f t="shared" si="6"/>
        <v>0</v>
      </c>
      <c r="S14" s="54">
        <f t="shared" si="7"/>
        <v>17017087.5</v>
      </c>
      <c r="T14" s="54">
        <f t="shared" si="8"/>
        <v>0</v>
      </c>
      <c r="U14" s="54">
        <f t="shared" si="9"/>
        <v>0</v>
      </c>
      <c r="V14" s="58">
        <f t="shared" si="10"/>
        <v>63358837.5</v>
      </c>
      <c r="W14" s="59">
        <f t="shared" si="11"/>
        <v>0.15328467153284672</v>
      </c>
    </row>
    <row r="15" spans="1:23" ht="48">
      <c r="A15" s="281" t="s">
        <v>32</v>
      </c>
      <c r="B15" s="36" t="s">
        <v>242</v>
      </c>
      <c r="C15" s="26" t="s">
        <v>243</v>
      </c>
      <c r="D15" s="28" t="s">
        <v>244</v>
      </c>
      <c r="E15" s="35">
        <v>0</v>
      </c>
      <c r="F15" s="35">
        <v>1</v>
      </c>
      <c r="G15" s="35">
        <v>1</v>
      </c>
      <c r="H15" s="35">
        <v>1</v>
      </c>
      <c r="I15" s="35">
        <v>1</v>
      </c>
      <c r="J15" s="17">
        <v>2000000</v>
      </c>
      <c r="K15" s="17">
        <v>0</v>
      </c>
      <c r="L15" s="54">
        <v>0</v>
      </c>
      <c r="M15" s="54">
        <f t="shared" si="1"/>
        <v>2100000</v>
      </c>
      <c r="N15" s="54">
        <f t="shared" si="2"/>
        <v>0</v>
      </c>
      <c r="O15" s="54">
        <f t="shared" si="3"/>
        <v>0</v>
      </c>
      <c r="P15" s="54">
        <f t="shared" si="4"/>
        <v>2205000</v>
      </c>
      <c r="Q15" s="54">
        <f t="shared" si="5"/>
        <v>0</v>
      </c>
      <c r="R15" s="54">
        <f t="shared" si="6"/>
        <v>0</v>
      </c>
      <c r="S15" s="54">
        <f t="shared" si="7"/>
        <v>2315250</v>
      </c>
      <c r="T15" s="54">
        <f t="shared" si="8"/>
        <v>0</v>
      </c>
      <c r="U15" s="54">
        <f t="shared" si="9"/>
        <v>0</v>
      </c>
      <c r="V15" s="58">
        <f t="shared" si="10"/>
        <v>8620250</v>
      </c>
      <c r="W15" s="59">
        <f t="shared" si="11"/>
        <v>0.020855057351407715</v>
      </c>
    </row>
    <row r="16" spans="1:23" ht="36">
      <c r="A16" s="281"/>
      <c r="B16" s="36" t="s">
        <v>156</v>
      </c>
      <c r="C16" s="35" t="s">
        <v>66</v>
      </c>
      <c r="D16" s="28" t="s">
        <v>33</v>
      </c>
      <c r="E16" s="35">
        <v>2</v>
      </c>
      <c r="F16" s="35">
        <v>2</v>
      </c>
      <c r="G16" s="35">
        <v>2</v>
      </c>
      <c r="H16" s="35">
        <v>2</v>
      </c>
      <c r="I16" s="35">
        <v>2</v>
      </c>
      <c r="J16" s="17">
        <v>12000000</v>
      </c>
      <c r="K16" s="17">
        <v>0</v>
      </c>
      <c r="L16" s="17">
        <v>2000000</v>
      </c>
      <c r="M16" s="54">
        <f t="shared" si="1"/>
        <v>12600000</v>
      </c>
      <c r="N16" s="54">
        <f t="shared" si="2"/>
        <v>0</v>
      </c>
      <c r="O16" s="54">
        <f t="shared" si="3"/>
        <v>2100000</v>
      </c>
      <c r="P16" s="54">
        <f t="shared" si="4"/>
        <v>13230000</v>
      </c>
      <c r="Q16" s="54">
        <f t="shared" si="5"/>
        <v>0</v>
      </c>
      <c r="R16" s="54">
        <f t="shared" si="6"/>
        <v>2205000</v>
      </c>
      <c r="S16" s="54">
        <f t="shared" si="7"/>
        <v>13891500</v>
      </c>
      <c r="T16" s="54">
        <f t="shared" si="8"/>
        <v>0</v>
      </c>
      <c r="U16" s="54">
        <f t="shared" si="9"/>
        <v>2315250</v>
      </c>
      <c r="V16" s="58">
        <f t="shared" si="10"/>
        <v>60341750</v>
      </c>
      <c r="W16" s="59">
        <f t="shared" si="11"/>
        <v>0.145985401459854</v>
      </c>
    </row>
    <row r="17" spans="1:23" ht="48">
      <c r="A17" s="281"/>
      <c r="B17" s="191" t="s">
        <v>34</v>
      </c>
      <c r="C17" s="35" t="s">
        <v>65</v>
      </c>
      <c r="D17" s="28" t="s">
        <v>35</v>
      </c>
      <c r="E17" s="35">
        <v>1</v>
      </c>
      <c r="F17" s="35">
        <v>1</v>
      </c>
      <c r="G17" s="35">
        <v>0</v>
      </c>
      <c r="H17" s="35">
        <v>0</v>
      </c>
      <c r="I17" s="35">
        <v>1</v>
      </c>
      <c r="J17" s="17">
        <v>15000000</v>
      </c>
      <c r="K17" s="17">
        <v>0</v>
      </c>
      <c r="L17" s="17">
        <v>5000000</v>
      </c>
      <c r="M17" s="54">
        <f t="shared" si="1"/>
        <v>15750000</v>
      </c>
      <c r="N17" s="54">
        <f t="shared" si="2"/>
        <v>0</v>
      </c>
      <c r="O17" s="54">
        <f t="shared" si="3"/>
        <v>5250000</v>
      </c>
      <c r="P17" s="54">
        <f t="shared" si="4"/>
        <v>16537500</v>
      </c>
      <c r="Q17" s="54">
        <f t="shared" si="5"/>
        <v>0</v>
      </c>
      <c r="R17" s="54">
        <f t="shared" si="6"/>
        <v>5512500</v>
      </c>
      <c r="S17" s="54">
        <f t="shared" si="7"/>
        <v>17364375</v>
      </c>
      <c r="T17" s="54">
        <f t="shared" si="8"/>
        <v>0</v>
      </c>
      <c r="U17" s="54">
        <f t="shared" si="9"/>
        <v>5788125</v>
      </c>
      <c r="V17" s="58">
        <f t="shared" si="10"/>
        <v>86202500</v>
      </c>
      <c r="W17" s="59">
        <f t="shared" si="11"/>
        <v>0.20855057351407716</v>
      </c>
    </row>
    <row r="18" spans="1:23" ht="36">
      <c r="A18" s="281"/>
      <c r="B18" s="193" t="s">
        <v>36</v>
      </c>
      <c r="C18" s="194" t="s">
        <v>68</v>
      </c>
      <c r="D18" s="195" t="s">
        <v>37</v>
      </c>
      <c r="E18" s="194">
        <v>2</v>
      </c>
      <c r="F18" s="194">
        <v>3</v>
      </c>
      <c r="G18" s="194">
        <v>3</v>
      </c>
      <c r="H18" s="35">
        <v>3</v>
      </c>
      <c r="I18" s="35">
        <v>3</v>
      </c>
      <c r="J18" s="17">
        <v>5000000</v>
      </c>
      <c r="K18" s="17">
        <v>0</v>
      </c>
      <c r="L18" s="54">
        <v>0</v>
      </c>
      <c r="M18" s="54">
        <f t="shared" si="1"/>
        <v>5250000</v>
      </c>
      <c r="N18" s="54">
        <f t="shared" si="2"/>
        <v>0</v>
      </c>
      <c r="O18" s="54">
        <f t="shared" si="3"/>
        <v>0</v>
      </c>
      <c r="P18" s="54">
        <f t="shared" si="4"/>
        <v>5512500</v>
      </c>
      <c r="Q18" s="54">
        <f t="shared" si="5"/>
        <v>0</v>
      </c>
      <c r="R18" s="54">
        <f t="shared" si="6"/>
        <v>0</v>
      </c>
      <c r="S18" s="54">
        <f t="shared" si="7"/>
        <v>5788125</v>
      </c>
      <c r="T18" s="54">
        <f t="shared" si="8"/>
        <v>0</v>
      </c>
      <c r="U18" s="54">
        <f t="shared" si="9"/>
        <v>0</v>
      </c>
      <c r="V18" s="58">
        <f t="shared" si="10"/>
        <v>21550625</v>
      </c>
      <c r="W18" s="59">
        <f t="shared" si="11"/>
        <v>0.05213764337851929</v>
      </c>
    </row>
    <row r="19" spans="1:23" ht="48">
      <c r="A19" s="281"/>
      <c r="B19" s="193" t="s">
        <v>196</v>
      </c>
      <c r="C19" s="134" t="s">
        <v>199</v>
      </c>
      <c r="D19" s="134" t="s">
        <v>197</v>
      </c>
      <c r="E19" s="146">
        <v>0</v>
      </c>
      <c r="F19" s="141">
        <v>12</v>
      </c>
      <c r="G19" s="141">
        <v>12</v>
      </c>
      <c r="H19" s="141">
        <v>12</v>
      </c>
      <c r="I19" s="141">
        <v>12</v>
      </c>
      <c r="J19" s="143">
        <v>0</v>
      </c>
      <c r="K19" s="143">
        <v>0</v>
      </c>
      <c r="L19" s="143">
        <v>0</v>
      </c>
      <c r="M19" s="143">
        <v>0</v>
      </c>
      <c r="N19" s="143">
        <v>0</v>
      </c>
      <c r="O19" s="143">
        <v>0</v>
      </c>
      <c r="P19" s="143">
        <v>0</v>
      </c>
      <c r="Q19" s="143">
        <v>0</v>
      </c>
      <c r="R19" s="143">
        <v>0</v>
      </c>
      <c r="S19" s="143">
        <v>0</v>
      </c>
      <c r="T19" s="143">
        <v>0</v>
      </c>
      <c r="U19" s="143">
        <v>0</v>
      </c>
      <c r="V19" s="58">
        <f t="shared" si="10"/>
        <v>0</v>
      </c>
      <c r="W19" s="59">
        <f>+V19/$V$22</f>
        <v>0</v>
      </c>
    </row>
    <row r="20" spans="1:23" ht="24">
      <c r="A20" s="281"/>
      <c r="B20" s="193" t="s">
        <v>195</v>
      </c>
      <c r="C20" s="134" t="s">
        <v>200</v>
      </c>
      <c r="D20" s="195" t="s">
        <v>201</v>
      </c>
      <c r="E20" s="194">
        <v>0</v>
      </c>
      <c r="F20" s="194">
        <v>1</v>
      </c>
      <c r="G20" s="194">
        <v>1</v>
      </c>
      <c r="H20" s="35">
        <v>1</v>
      </c>
      <c r="I20" s="35">
        <v>1</v>
      </c>
      <c r="J20" s="143">
        <v>0</v>
      </c>
      <c r="K20" s="143">
        <v>0</v>
      </c>
      <c r="L20" s="143">
        <v>0</v>
      </c>
      <c r="M20" s="143">
        <v>0</v>
      </c>
      <c r="N20" s="143">
        <v>0</v>
      </c>
      <c r="O20" s="143">
        <v>0</v>
      </c>
      <c r="P20" s="143">
        <v>0</v>
      </c>
      <c r="Q20" s="143">
        <v>0</v>
      </c>
      <c r="R20" s="143">
        <v>0</v>
      </c>
      <c r="S20" s="143">
        <v>0</v>
      </c>
      <c r="T20" s="143">
        <v>0</v>
      </c>
      <c r="U20" s="143">
        <v>0</v>
      </c>
      <c r="V20" s="58">
        <f t="shared" si="10"/>
        <v>0</v>
      </c>
      <c r="W20" s="59">
        <f>+V20/$V$22</f>
        <v>0</v>
      </c>
    </row>
    <row r="21" spans="1:23" ht="24.75" thickBot="1">
      <c r="A21" s="282"/>
      <c r="B21" s="37" t="s">
        <v>245</v>
      </c>
      <c r="C21" s="147" t="s">
        <v>246</v>
      </c>
      <c r="D21" s="39" t="s">
        <v>247</v>
      </c>
      <c r="E21" s="38">
        <v>0</v>
      </c>
      <c r="F21" s="38"/>
      <c r="G21" s="38"/>
      <c r="H21" s="40"/>
      <c r="I21" s="40"/>
      <c r="J21" s="196">
        <v>0</v>
      </c>
      <c r="K21" s="196">
        <v>0</v>
      </c>
      <c r="L21" s="196">
        <v>0</v>
      </c>
      <c r="M21" s="196">
        <v>0</v>
      </c>
      <c r="N21" s="196">
        <v>0</v>
      </c>
      <c r="O21" s="196">
        <v>0</v>
      </c>
      <c r="P21" s="196">
        <v>0</v>
      </c>
      <c r="Q21" s="196">
        <v>0</v>
      </c>
      <c r="R21" s="196">
        <v>0</v>
      </c>
      <c r="S21" s="196">
        <v>0</v>
      </c>
      <c r="T21" s="196">
        <v>0</v>
      </c>
      <c r="U21" s="196">
        <v>0</v>
      </c>
      <c r="V21" s="197">
        <f t="shared" si="10"/>
        <v>0</v>
      </c>
      <c r="W21" s="198">
        <f>+V21/$V$22</f>
        <v>0</v>
      </c>
    </row>
    <row r="22" spans="1:23" s="51" customFormat="1" ht="30" customHeight="1" thickBot="1">
      <c r="A22" s="237" t="s">
        <v>39</v>
      </c>
      <c r="B22" s="238"/>
      <c r="C22" s="238"/>
      <c r="D22" s="238"/>
      <c r="E22" s="238"/>
      <c r="F22" s="238"/>
      <c r="G22" s="238"/>
      <c r="H22" s="238"/>
      <c r="I22" s="238"/>
      <c r="J22" s="52">
        <f>+SUM(J10:J21)</f>
        <v>85900000</v>
      </c>
      <c r="K22" s="199">
        <f aca="true" t="shared" si="12" ref="K22:W22">+SUM(K10:K21)</f>
        <v>0</v>
      </c>
      <c r="L22" s="199">
        <f t="shared" si="12"/>
        <v>10000000</v>
      </c>
      <c r="M22" s="199">
        <f t="shared" si="12"/>
        <v>90195000</v>
      </c>
      <c r="N22" s="199">
        <f t="shared" si="12"/>
        <v>0</v>
      </c>
      <c r="O22" s="199">
        <f t="shared" si="12"/>
        <v>10500000</v>
      </c>
      <c r="P22" s="199">
        <f t="shared" si="12"/>
        <v>94704750</v>
      </c>
      <c r="Q22" s="199">
        <f t="shared" si="12"/>
        <v>0</v>
      </c>
      <c r="R22" s="199">
        <f t="shared" si="12"/>
        <v>11025000</v>
      </c>
      <c r="S22" s="199">
        <f t="shared" si="12"/>
        <v>99439987.5</v>
      </c>
      <c r="T22" s="199">
        <f t="shared" si="12"/>
        <v>0</v>
      </c>
      <c r="U22" s="199">
        <f t="shared" si="12"/>
        <v>11576250</v>
      </c>
      <c r="V22" s="199">
        <f t="shared" si="12"/>
        <v>413340987.5</v>
      </c>
      <c r="W22" s="200">
        <f t="shared" si="12"/>
        <v>0.9999999999999999</v>
      </c>
    </row>
    <row r="24" ht="12.75">
      <c r="C24" s="209"/>
    </row>
    <row r="25" spans="2:10" ht="12.75">
      <c r="B25" s="5"/>
      <c r="C25" s="210">
        <f>+J22+L22</f>
        <v>95900000</v>
      </c>
      <c r="J25" s="190"/>
    </row>
    <row r="26" ht="12.75">
      <c r="C26" s="210">
        <f>+C25*1.05</f>
        <v>100695000</v>
      </c>
    </row>
    <row r="27" ht="12.75">
      <c r="C27" s="210">
        <f>+C26*1.05</f>
        <v>105729750</v>
      </c>
    </row>
    <row r="28" ht="12.75">
      <c r="C28" s="210">
        <f>+C27*1.05</f>
        <v>111016237.5</v>
      </c>
    </row>
    <row r="29" ht="12.75">
      <c r="C29" s="203"/>
    </row>
    <row r="30" ht="12.75">
      <c r="C30" s="203"/>
    </row>
    <row r="31" ht="12.75">
      <c r="C31" s="203"/>
    </row>
    <row r="32" ht="12.75">
      <c r="C32" s="16"/>
    </row>
  </sheetData>
  <sheetProtection/>
  <mergeCells count="21">
    <mergeCell ref="A22:I22"/>
    <mergeCell ref="A10:A12"/>
    <mergeCell ref="D8:D9"/>
    <mergeCell ref="E8:I8"/>
    <mergeCell ref="C8:C9"/>
    <mergeCell ref="A15:A21"/>
    <mergeCell ref="A8:A9"/>
    <mergeCell ref="A1:W1"/>
    <mergeCell ref="A2:W2"/>
    <mergeCell ref="A3:W3"/>
    <mergeCell ref="A4:W4"/>
    <mergeCell ref="A5:W5"/>
    <mergeCell ref="A7:W7"/>
    <mergeCell ref="A6:W6"/>
    <mergeCell ref="S8:U8"/>
    <mergeCell ref="P8:R8"/>
    <mergeCell ref="M8:O8"/>
    <mergeCell ref="B8:B9"/>
    <mergeCell ref="W8:W9"/>
    <mergeCell ref="V8:V9"/>
    <mergeCell ref="J8:L8"/>
  </mergeCells>
  <hyperlinks>
    <hyperlink ref="D11" r:id="rId1" display="Jornadas de capacitacion. "/>
    <hyperlink ref="D14" r:id="rId2" display="Arboles sembrados y con buen mantenimiento."/>
  </hyperlinks>
  <printOptions/>
  <pageMargins left="0.3937007874015748" right="0" top="0.1968503937007874" bottom="0" header="0" footer="0"/>
  <pageSetup fitToHeight="1" fitToWidth="1" horizontalDpi="1200" verticalDpi="1200" orientation="landscape" paperSize="5" scale="66" r:id="rId4"/>
  <drawing r:id="rId3"/>
</worksheet>
</file>

<file path=xl/worksheets/sheet5.xml><?xml version="1.0" encoding="utf-8"?>
<worksheet xmlns="http://schemas.openxmlformats.org/spreadsheetml/2006/main" xmlns:r="http://schemas.openxmlformats.org/officeDocument/2006/relationships">
  <sheetPr>
    <pageSetUpPr fitToPage="1"/>
  </sheetPr>
  <dimension ref="A1:W28"/>
  <sheetViews>
    <sheetView showGridLines="0" zoomScalePageLayoutView="0" workbookViewId="0" topLeftCell="A15">
      <selection activeCell="B32" sqref="B32"/>
    </sheetView>
  </sheetViews>
  <sheetFormatPr defaultColWidth="11.421875" defaultRowHeight="12.75"/>
  <cols>
    <col min="1" max="1" width="30.7109375" style="0" customWidth="1"/>
    <col min="2" max="2" width="31.8515625" style="0" bestFit="1" customWidth="1"/>
    <col min="3" max="3" width="22.7109375" style="0" bestFit="1" customWidth="1"/>
    <col min="4" max="4" width="21.00390625" style="0" bestFit="1" customWidth="1"/>
    <col min="5" max="5" width="5.28125" style="0" bestFit="1" customWidth="1"/>
    <col min="6" max="7" width="4.421875" style="0" bestFit="1" customWidth="1"/>
    <col min="8" max="9" width="5.28125" style="0" bestFit="1" customWidth="1"/>
    <col min="10" max="10" width="11.57421875" style="0" bestFit="1" customWidth="1"/>
    <col min="11" max="11" width="5.140625" style="0" bestFit="1" customWidth="1"/>
    <col min="12" max="12" width="11.57421875" style="0" bestFit="1" customWidth="1"/>
    <col min="13" max="13" width="12.28125" style="0" bestFit="1" customWidth="1"/>
    <col min="14" max="14" width="5.140625" style="0" bestFit="1" customWidth="1"/>
    <col min="15" max="16" width="11.57421875" style="0" bestFit="1" customWidth="1"/>
    <col min="17" max="17" width="5.140625" style="0" bestFit="1" customWidth="1"/>
    <col min="18" max="19" width="11.57421875" style="0" bestFit="1" customWidth="1"/>
    <col min="20" max="20" width="5.140625" style="0" bestFit="1" customWidth="1"/>
    <col min="21" max="21" width="11.57421875" style="0" bestFit="1" customWidth="1"/>
    <col min="22" max="22" width="12.57421875" style="0" bestFit="1" customWidth="1"/>
    <col min="23" max="23" width="11.8515625" style="0" bestFit="1"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s="5" customFormat="1" ht="15">
      <c r="A2" s="254" t="s">
        <v>182</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11</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186</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9" t="s">
        <v>61</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54.75" customHeight="1">
      <c r="A6" s="229" t="s">
        <v>49</v>
      </c>
      <c r="B6" s="230"/>
      <c r="C6" s="230"/>
      <c r="D6" s="230"/>
      <c r="E6" s="230"/>
      <c r="F6" s="230"/>
      <c r="G6" s="230"/>
      <c r="H6" s="230"/>
      <c r="I6" s="230"/>
      <c r="J6" s="230"/>
      <c r="K6" s="230"/>
      <c r="L6" s="230"/>
      <c r="M6" s="230"/>
      <c r="N6" s="230"/>
      <c r="O6" s="230"/>
      <c r="P6" s="230"/>
      <c r="Q6" s="230"/>
      <c r="R6" s="230"/>
      <c r="S6" s="230"/>
      <c r="T6" s="230"/>
      <c r="U6" s="230"/>
      <c r="V6" s="230"/>
      <c r="W6" s="231"/>
    </row>
    <row r="7" spans="1:23" s="5" customFormat="1" ht="92.2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ht="12.75" customHeight="1">
      <c r="A8" s="291" t="s">
        <v>0</v>
      </c>
      <c r="B8" s="293" t="s">
        <v>1</v>
      </c>
      <c r="C8" s="286" t="s">
        <v>2</v>
      </c>
      <c r="D8" s="296" t="s">
        <v>3</v>
      </c>
      <c r="E8" s="297"/>
      <c r="F8" s="297"/>
      <c r="G8" s="297"/>
      <c r="H8" s="297"/>
      <c r="I8" s="298"/>
      <c r="J8" s="299" t="s">
        <v>5</v>
      </c>
      <c r="K8" s="285"/>
      <c r="L8" s="248"/>
      <c r="M8" s="284" t="s">
        <v>6</v>
      </c>
      <c r="N8" s="285"/>
      <c r="O8" s="248"/>
      <c r="P8" s="284" t="s">
        <v>7</v>
      </c>
      <c r="Q8" s="285"/>
      <c r="R8" s="248"/>
      <c r="S8" s="284" t="s">
        <v>8</v>
      </c>
      <c r="T8" s="285"/>
      <c r="U8" s="248"/>
      <c r="V8" s="288" t="s">
        <v>46</v>
      </c>
      <c r="W8" s="257" t="s">
        <v>38</v>
      </c>
    </row>
    <row r="9" spans="1:23" ht="24.75" thickBot="1">
      <c r="A9" s="292"/>
      <c r="B9" s="294"/>
      <c r="C9" s="287"/>
      <c r="D9" s="204" t="s">
        <v>4</v>
      </c>
      <c r="E9" s="205" t="s">
        <v>40</v>
      </c>
      <c r="F9" s="206">
        <v>2012</v>
      </c>
      <c r="G9" s="206">
        <v>2013</v>
      </c>
      <c r="H9" s="206">
        <v>2014</v>
      </c>
      <c r="I9" s="207">
        <v>2015</v>
      </c>
      <c r="J9" s="205" t="s">
        <v>41</v>
      </c>
      <c r="K9" s="208" t="s">
        <v>190</v>
      </c>
      <c r="L9" s="208" t="s">
        <v>42</v>
      </c>
      <c r="M9" s="208" t="s">
        <v>41</v>
      </c>
      <c r="N9" s="208" t="s">
        <v>190</v>
      </c>
      <c r="O9" s="208" t="s">
        <v>42</v>
      </c>
      <c r="P9" s="208" t="s">
        <v>41</v>
      </c>
      <c r="Q9" s="208" t="s">
        <v>190</v>
      </c>
      <c r="R9" s="208" t="s">
        <v>42</v>
      </c>
      <c r="S9" s="208" t="s">
        <v>41</v>
      </c>
      <c r="T9" s="208" t="s">
        <v>190</v>
      </c>
      <c r="U9" s="208" t="s">
        <v>42</v>
      </c>
      <c r="V9" s="289"/>
      <c r="W9" s="290"/>
    </row>
    <row r="10" spans="1:23" ht="55.5" customHeight="1">
      <c r="A10" s="295" t="s">
        <v>174</v>
      </c>
      <c r="B10" s="30" t="s">
        <v>12</v>
      </c>
      <c r="C10" s="44" t="s">
        <v>59</v>
      </c>
      <c r="D10" s="161" t="s">
        <v>89</v>
      </c>
      <c r="E10" s="25">
        <f>20/4</f>
        <v>5</v>
      </c>
      <c r="F10" s="25">
        <v>5</v>
      </c>
      <c r="G10" s="25">
        <v>10</v>
      </c>
      <c r="H10" s="25">
        <v>10</v>
      </c>
      <c r="I10" s="62">
        <v>15</v>
      </c>
      <c r="J10" s="63">
        <v>20000000</v>
      </c>
      <c r="K10" s="53">
        <v>0</v>
      </c>
      <c r="L10" s="53">
        <v>0</v>
      </c>
      <c r="M10" s="63">
        <f>+J10*1.05</f>
        <v>21000000</v>
      </c>
      <c r="N10" s="53">
        <v>0</v>
      </c>
      <c r="O10" s="53">
        <v>0</v>
      </c>
      <c r="P10" s="63">
        <f>+M10*1.05</f>
        <v>22050000</v>
      </c>
      <c r="Q10" s="53">
        <v>0</v>
      </c>
      <c r="R10" s="53">
        <v>0</v>
      </c>
      <c r="S10" s="63">
        <f>+P10*1.05</f>
        <v>23152500</v>
      </c>
      <c r="T10" s="53">
        <v>0</v>
      </c>
      <c r="U10" s="53">
        <v>0</v>
      </c>
      <c r="V10" s="56">
        <f>+J10+M10+P10+S10</f>
        <v>86202500</v>
      </c>
      <c r="W10" s="57">
        <f>+V10/$V$21</f>
        <v>0.29850746268656714</v>
      </c>
    </row>
    <row r="11" spans="1:23" ht="60">
      <c r="A11" s="240"/>
      <c r="B11" s="48" t="s">
        <v>13</v>
      </c>
      <c r="C11" s="45" t="s">
        <v>50</v>
      </c>
      <c r="D11" s="162" t="s">
        <v>47</v>
      </c>
      <c r="E11" s="26">
        <f>20/4</f>
        <v>5</v>
      </c>
      <c r="F11" s="26">
        <v>2</v>
      </c>
      <c r="G11" s="26">
        <v>2</v>
      </c>
      <c r="H11" s="26">
        <v>3</v>
      </c>
      <c r="I11" s="13">
        <v>3</v>
      </c>
      <c r="J11" s="64">
        <v>1000000</v>
      </c>
      <c r="K11" s="54">
        <v>0</v>
      </c>
      <c r="L11" s="54">
        <v>0</v>
      </c>
      <c r="M11" s="64">
        <f>+J11*1.05</f>
        <v>1050000</v>
      </c>
      <c r="N11" s="54">
        <v>0</v>
      </c>
      <c r="O11" s="54">
        <v>0</v>
      </c>
      <c r="P11" s="64">
        <f>+M11*1.05</f>
        <v>1102500</v>
      </c>
      <c r="Q11" s="54">
        <v>0</v>
      </c>
      <c r="R11" s="54">
        <v>0</v>
      </c>
      <c r="S11" s="64">
        <f>+P11*1.05</f>
        <v>1157625</v>
      </c>
      <c r="T11" s="54">
        <v>0</v>
      </c>
      <c r="U11" s="54">
        <v>0</v>
      </c>
      <c r="V11" s="71">
        <f>+J11+M11+P11+S11</f>
        <v>4310125</v>
      </c>
      <c r="W11" s="59">
        <f aca="true" t="shared" si="0" ref="W11:W21">+V11/$V$21</f>
        <v>0.014925373134328358</v>
      </c>
    </row>
    <row r="12" spans="1:23" ht="48">
      <c r="A12" s="240"/>
      <c r="B12" s="48" t="s">
        <v>58</v>
      </c>
      <c r="C12" s="45" t="s">
        <v>60</v>
      </c>
      <c r="D12" s="45" t="s">
        <v>48</v>
      </c>
      <c r="E12" s="26">
        <v>0</v>
      </c>
      <c r="F12" s="26">
        <v>2</v>
      </c>
      <c r="G12" s="26">
        <v>4</v>
      </c>
      <c r="H12" s="26">
        <v>4</v>
      </c>
      <c r="I12" s="13">
        <v>4</v>
      </c>
      <c r="J12" s="64">
        <v>7000000</v>
      </c>
      <c r="K12" s="54">
        <v>0</v>
      </c>
      <c r="L12" s="54">
        <v>0</v>
      </c>
      <c r="M12" s="64">
        <f>+J12*1.05</f>
        <v>7350000</v>
      </c>
      <c r="N12" s="54">
        <v>0</v>
      </c>
      <c r="O12" s="54">
        <v>0</v>
      </c>
      <c r="P12" s="64">
        <f>+M12*1.05</f>
        <v>7717500</v>
      </c>
      <c r="Q12" s="54">
        <v>0</v>
      </c>
      <c r="R12" s="54">
        <v>0</v>
      </c>
      <c r="S12" s="64">
        <f>+P12*1.05</f>
        <v>8103375</v>
      </c>
      <c r="T12" s="54">
        <v>0</v>
      </c>
      <c r="U12" s="54">
        <v>0</v>
      </c>
      <c r="V12" s="58">
        <f>+J12+M12+P12+S12</f>
        <v>30170875</v>
      </c>
      <c r="W12" s="59">
        <f t="shared" si="0"/>
        <v>0.1044776119402985</v>
      </c>
    </row>
    <row r="13" spans="1:23" ht="48">
      <c r="A13" s="43" t="s">
        <v>173</v>
      </c>
      <c r="B13" s="48" t="s">
        <v>14</v>
      </c>
      <c r="C13" s="26" t="s">
        <v>224</v>
      </c>
      <c r="D13" s="26" t="s">
        <v>90</v>
      </c>
      <c r="E13" s="26">
        <f>15000/4</f>
        <v>3750</v>
      </c>
      <c r="F13" s="26">
        <v>2000</v>
      </c>
      <c r="G13" s="26">
        <v>3000</v>
      </c>
      <c r="H13" s="26">
        <v>3000</v>
      </c>
      <c r="I13" s="13">
        <v>2000</v>
      </c>
      <c r="J13" s="64">
        <v>6000000</v>
      </c>
      <c r="K13" s="54">
        <v>0</v>
      </c>
      <c r="L13" s="54">
        <v>0</v>
      </c>
      <c r="M13" s="64">
        <f>+J13*1.05</f>
        <v>6300000</v>
      </c>
      <c r="N13" s="54">
        <v>0</v>
      </c>
      <c r="O13" s="54">
        <v>0</v>
      </c>
      <c r="P13" s="64">
        <f>+M13*1.05</f>
        <v>6615000</v>
      </c>
      <c r="Q13" s="54">
        <v>0</v>
      </c>
      <c r="R13" s="54">
        <v>0</v>
      </c>
      <c r="S13" s="64">
        <f>+P13*1.05</f>
        <v>6945750</v>
      </c>
      <c r="T13" s="54">
        <v>0</v>
      </c>
      <c r="U13" s="54">
        <v>0</v>
      </c>
      <c r="V13" s="58">
        <f>+J13+M13+P13+S13</f>
        <v>25860750</v>
      </c>
      <c r="W13" s="59">
        <f t="shared" si="0"/>
        <v>0.08955223880597014</v>
      </c>
    </row>
    <row r="14" spans="1:23" ht="36">
      <c r="A14" s="43" t="s">
        <v>172</v>
      </c>
      <c r="B14" s="48" t="s">
        <v>15</v>
      </c>
      <c r="C14" s="26" t="s">
        <v>57</v>
      </c>
      <c r="D14" s="26" t="s">
        <v>91</v>
      </c>
      <c r="E14" s="26">
        <v>50</v>
      </c>
      <c r="F14" s="26">
        <v>50</v>
      </c>
      <c r="G14" s="26">
        <v>50</v>
      </c>
      <c r="H14" s="26">
        <v>50</v>
      </c>
      <c r="I14" s="13">
        <v>50</v>
      </c>
      <c r="J14" s="54">
        <v>0</v>
      </c>
      <c r="K14" s="54">
        <v>0</v>
      </c>
      <c r="L14" s="54">
        <v>9000000</v>
      </c>
      <c r="M14" s="54">
        <v>0</v>
      </c>
      <c r="N14" s="54">
        <v>0</v>
      </c>
      <c r="O14" s="54">
        <f>+L14*1.05</f>
        <v>9450000</v>
      </c>
      <c r="P14" s="54">
        <v>0</v>
      </c>
      <c r="Q14" s="54">
        <v>0</v>
      </c>
      <c r="R14" s="54">
        <f>+O14*1.05</f>
        <v>9922500</v>
      </c>
      <c r="S14" s="54">
        <v>0</v>
      </c>
      <c r="T14" s="54">
        <v>0</v>
      </c>
      <c r="U14" s="54">
        <f>+R14*1.05</f>
        <v>10418625</v>
      </c>
      <c r="V14" s="58">
        <f>+L14+O14+R14+U14</f>
        <v>38791125</v>
      </c>
      <c r="W14" s="59">
        <f t="shared" si="0"/>
        <v>0.13432835820895522</v>
      </c>
    </row>
    <row r="15" spans="1:23" ht="24">
      <c r="A15" s="47" t="s">
        <v>171</v>
      </c>
      <c r="B15" s="48" t="s">
        <v>51</v>
      </c>
      <c r="C15" s="26" t="s">
        <v>52</v>
      </c>
      <c r="D15" s="26" t="s">
        <v>92</v>
      </c>
      <c r="E15" s="13">
        <v>0</v>
      </c>
      <c r="F15" s="13">
        <v>2000</v>
      </c>
      <c r="G15" s="13">
        <v>8000</v>
      </c>
      <c r="H15" s="13">
        <v>10000</v>
      </c>
      <c r="I15" s="13">
        <v>10000</v>
      </c>
      <c r="J15" s="54"/>
      <c r="K15" s="54">
        <v>0</v>
      </c>
      <c r="L15" s="54">
        <v>10000000</v>
      </c>
      <c r="M15" s="54">
        <v>0</v>
      </c>
      <c r="N15" s="54">
        <v>0</v>
      </c>
      <c r="O15" s="54">
        <f>+L15*1.05</f>
        <v>10500000</v>
      </c>
      <c r="P15" s="54">
        <v>0</v>
      </c>
      <c r="Q15" s="54">
        <v>0</v>
      </c>
      <c r="R15" s="54">
        <f>+O15*1.05</f>
        <v>11025000</v>
      </c>
      <c r="S15" s="54">
        <v>0</v>
      </c>
      <c r="T15" s="54">
        <v>0</v>
      </c>
      <c r="U15" s="54">
        <f>+R15*1.05</f>
        <v>11576250</v>
      </c>
      <c r="V15" s="58">
        <f>+L15+O15+R15+U15</f>
        <v>43101250</v>
      </c>
      <c r="W15" s="59">
        <f t="shared" si="0"/>
        <v>0.14925373134328357</v>
      </c>
    </row>
    <row r="16" spans="1:23" ht="12.75">
      <c r="A16" s="47" t="s">
        <v>16</v>
      </c>
      <c r="B16" s="48" t="s">
        <v>17</v>
      </c>
      <c r="C16" s="14" t="s">
        <v>18</v>
      </c>
      <c r="D16" s="14"/>
      <c r="E16" s="13">
        <v>1</v>
      </c>
      <c r="F16" s="13">
        <v>1</v>
      </c>
      <c r="G16" s="13">
        <v>1</v>
      </c>
      <c r="H16" s="13">
        <v>1</v>
      </c>
      <c r="I16" s="13">
        <v>1</v>
      </c>
      <c r="J16" s="54">
        <v>0</v>
      </c>
      <c r="K16" s="54">
        <v>0</v>
      </c>
      <c r="L16" s="54">
        <v>11000000</v>
      </c>
      <c r="M16" s="54">
        <v>0</v>
      </c>
      <c r="N16" s="54">
        <v>0</v>
      </c>
      <c r="O16" s="54">
        <f>+L16*1.05</f>
        <v>11550000</v>
      </c>
      <c r="P16" s="54">
        <v>0</v>
      </c>
      <c r="Q16" s="54">
        <v>0</v>
      </c>
      <c r="R16" s="54">
        <f>+O16*1.05</f>
        <v>12127500</v>
      </c>
      <c r="S16" s="54">
        <v>0</v>
      </c>
      <c r="T16" s="54">
        <v>0</v>
      </c>
      <c r="U16" s="54">
        <f>+R16*1.05</f>
        <v>12733875</v>
      </c>
      <c r="V16" s="58">
        <f>+L16+O16+R16+U16</f>
        <v>47411375</v>
      </c>
      <c r="W16" s="59">
        <f t="shared" si="0"/>
        <v>0.16417910447761194</v>
      </c>
    </row>
    <row r="17" spans="1:23" ht="24">
      <c r="A17" s="47" t="s">
        <v>19</v>
      </c>
      <c r="B17" s="48" t="s">
        <v>20</v>
      </c>
      <c r="C17" s="14" t="s">
        <v>53</v>
      </c>
      <c r="D17" s="14" t="s">
        <v>93</v>
      </c>
      <c r="E17" s="13">
        <v>0</v>
      </c>
      <c r="F17" s="13">
        <v>2</v>
      </c>
      <c r="G17" s="13">
        <v>4</v>
      </c>
      <c r="H17" s="13">
        <v>4</v>
      </c>
      <c r="I17" s="13">
        <v>2</v>
      </c>
      <c r="J17" s="54">
        <v>1000000</v>
      </c>
      <c r="K17" s="54">
        <v>0</v>
      </c>
      <c r="L17" s="54">
        <v>0</v>
      </c>
      <c r="M17" s="64">
        <f>+J17*1.05</f>
        <v>1050000</v>
      </c>
      <c r="N17" s="54">
        <v>0</v>
      </c>
      <c r="O17" s="54">
        <v>0</v>
      </c>
      <c r="P17" s="64">
        <f>+M17*1.05</f>
        <v>1102500</v>
      </c>
      <c r="Q17" s="54">
        <v>0</v>
      </c>
      <c r="R17" s="54">
        <v>0</v>
      </c>
      <c r="S17" s="64">
        <f>+P17*1.05</f>
        <v>1157625</v>
      </c>
      <c r="T17" s="54">
        <v>0</v>
      </c>
      <c r="U17" s="54">
        <v>0</v>
      </c>
      <c r="V17" s="58">
        <f>+J17+M17+P17+S17</f>
        <v>4310125</v>
      </c>
      <c r="W17" s="59">
        <f t="shared" si="0"/>
        <v>0.014925373134328358</v>
      </c>
    </row>
    <row r="18" spans="1:23" ht="36">
      <c r="A18" s="65" t="s">
        <v>170</v>
      </c>
      <c r="B18" s="66" t="s">
        <v>21</v>
      </c>
      <c r="C18" s="26" t="s">
        <v>54</v>
      </c>
      <c r="D18" s="26" t="s">
        <v>94</v>
      </c>
      <c r="E18" s="26">
        <v>0</v>
      </c>
      <c r="F18" s="26">
        <v>20</v>
      </c>
      <c r="G18" s="26">
        <v>20</v>
      </c>
      <c r="H18" s="26">
        <v>30</v>
      </c>
      <c r="I18" s="67">
        <v>30</v>
      </c>
      <c r="J18" s="54">
        <v>2000000</v>
      </c>
      <c r="K18" s="54">
        <v>0</v>
      </c>
      <c r="L18" s="54">
        <v>0</v>
      </c>
      <c r="M18" s="64">
        <f>+J18*1.05</f>
        <v>2100000</v>
      </c>
      <c r="N18" s="54">
        <v>0</v>
      </c>
      <c r="O18" s="54">
        <v>0</v>
      </c>
      <c r="P18" s="64">
        <f>+M18*1.05</f>
        <v>2205000</v>
      </c>
      <c r="Q18" s="54">
        <v>0</v>
      </c>
      <c r="R18" s="54">
        <v>0</v>
      </c>
      <c r="S18" s="64">
        <f>+P18*1.05</f>
        <v>2315250</v>
      </c>
      <c r="T18" s="54">
        <v>0</v>
      </c>
      <c r="U18" s="54">
        <v>0</v>
      </c>
      <c r="V18" s="58">
        <f>+J18+M18+P18+S18</f>
        <v>8620250</v>
      </c>
      <c r="W18" s="59">
        <f t="shared" si="0"/>
        <v>0.029850746268656716</v>
      </c>
    </row>
    <row r="19" spans="1:23" ht="48">
      <c r="A19" s="65" t="s">
        <v>55</v>
      </c>
      <c r="B19" s="8" t="s">
        <v>56</v>
      </c>
      <c r="C19" s="26" t="s">
        <v>96</v>
      </c>
      <c r="D19" s="26" t="s">
        <v>95</v>
      </c>
      <c r="E19" s="26">
        <v>4</v>
      </c>
      <c r="F19" s="26">
        <v>4</v>
      </c>
      <c r="G19" s="26">
        <v>4</v>
      </c>
      <c r="H19" s="26">
        <v>4</v>
      </c>
      <c r="I19" s="67">
        <v>4</v>
      </c>
      <c r="J19" s="54">
        <v>3000000</v>
      </c>
      <c r="K19" s="54">
        <v>0</v>
      </c>
      <c r="L19" s="54">
        <v>0</v>
      </c>
      <c r="M19" s="64">
        <f>+J19*1.05</f>
        <v>3150000</v>
      </c>
      <c r="N19" s="54">
        <v>0</v>
      </c>
      <c r="O19" s="54">
        <v>0</v>
      </c>
      <c r="P19" s="64">
        <f>+M19*1.05</f>
        <v>3307500</v>
      </c>
      <c r="Q19" s="54">
        <v>0</v>
      </c>
      <c r="R19" s="54">
        <v>0</v>
      </c>
      <c r="S19" s="64">
        <f>+P19*1.05</f>
        <v>3472875</v>
      </c>
      <c r="T19" s="54">
        <v>0</v>
      </c>
      <c r="U19" s="54">
        <v>0</v>
      </c>
      <c r="V19" s="58">
        <f>+J19+M19+P19+S19</f>
        <v>12930375</v>
      </c>
      <c r="W19" s="59">
        <f t="shared" si="0"/>
        <v>0.04477611940298507</v>
      </c>
    </row>
    <row r="20" spans="1:23" ht="36.75" thickBot="1">
      <c r="A20" s="49" t="s">
        <v>169</v>
      </c>
      <c r="B20" s="23"/>
      <c r="C20" s="24"/>
      <c r="D20" s="24"/>
      <c r="E20" s="24"/>
      <c r="F20" s="24"/>
      <c r="G20" s="24"/>
      <c r="H20" s="24"/>
      <c r="I20" s="24"/>
      <c r="J20" s="55">
        <v>0</v>
      </c>
      <c r="K20" s="55">
        <v>0</v>
      </c>
      <c r="L20" s="55">
        <v>0</v>
      </c>
      <c r="M20" s="55">
        <v>0</v>
      </c>
      <c r="N20" s="55">
        <v>0</v>
      </c>
      <c r="O20" s="55">
        <v>0</v>
      </c>
      <c r="P20" s="68"/>
      <c r="Q20" s="55">
        <v>0</v>
      </c>
      <c r="R20" s="55">
        <v>0</v>
      </c>
      <c r="S20" s="68"/>
      <c r="T20" s="55">
        <v>0</v>
      </c>
      <c r="U20" s="55">
        <v>0</v>
      </c>
      <c r="V20" s="55">
        <v>0</v>
      </c>
      <c r="W20" s="61">
        <f t="shared" si="0"/>
        <v>0</v>
      </c>
    </row>
    <row r="21" spans="1:23" s="51" customFormat="1" ht="30" customHeight="1" thickBot="1">
      <c r="A21" s="237" t="s">
        <v>39</v>
      </c>
      <c r="B21" s="238"/>
      <c r="C21" s="238"/>
      <c r="D21" s="238"/>
      <c r="E21" s="238"/>
      <c r="F21" s="238"/>
      <c r="G21" s="238"/>
      <c r="H21" s="238"/>
      <c r="I21" s="238"/>
      <c r="J21" s="69">
        <f>+J10+J11+J12+J13+J14+J15+J16+J17+J18+J20</f>
        <v>37000000</v>
      </c>
      <c r="K21" s="70">
        <f>+K10+K11+K12+K13+K14+K15+K16+K17+K18+K20</f>
        <v>0</v>
      </c>
      <c r="L21" s="70">
        <f>+L10+L11+L12+L13+L14+L15+L16+L17+L18+L20</f>
        <v>30000000</v>
      </c>
      <c r="M21" s="70">
        <f aca="true" t="shared" si="1" ref="M21:V21">+M10+M11+M12+M13+M14+M15+M16+M17+M18+M20</f>
        <v>38850000</v>
      </c>
      <c r="N21" s="70">
        <f t="shared" si="1"/>
        <v>0</v>
      </c>
      <c r="O21" s="70">
        <f t="shared" si="1"/>
        <v>31500000</v>
      </c>
      <c r="P21" s="70">
        <f t="shared" si="1"/>
        <v>40792500</v>
      </c>
      <c r="Q21" s="70">
        <f t="shared" si="1"/>
        <v>0</v>
      </c>
      <c r="R21" s="70">
        <f t="shared" si="1"/>
        <v>33075000</v>
      </c>
      <c r="S21" s="70">
        <f t="shared" si="1"/>
        <v>42832125</v>
      </c>
      <c r="T21" s="70">
        <f t="shared" si="1"/>
        <v>0</v>
      </c>
      <c r="U21" s="70">
        <f t="shared" si="1"/>
        <v>34728750</v>
      </c>
      <c r="V21" s="70">
        <f t="shared" si="1"/>
        <v>288778375</v>
      </c>
      <c r="W21" s="72">
        <f t="shared" si="0"/>
        <v>1</v>
      </c>
    </row>
    <row r="23" spans="3:10" ht="12.75">
      <c r="C23" s="5"/>
      <c r="D23" s="5"/>
      <c r="J23" s="156"/>
    </row>
    <row r="24" spans="3:4" ht="12.75">
      <c r="C24" s="201">
        <f>+J21+L21</f>
        <v>67000000</v>
      </c>
      <c r="D24" s="5"/>
    </row>
    <row r="25" spans="3:13" ht="12.75">
      <c r="C25" s="201">
        <f>+C24*1.05</f>
        <v>70350000</v>
      </c>
      <c r="D25" s="5"/>
      <c r="M25" s="156"/>
    </row>
    <row r="26" spans="3:13" ht="12.75">
      <c r="C26" s="201">
        <f>+C25*1.05</f>
        <v>73867500</v>
      </c>
      <c r="D26" s="5"/>
      <c r="M26" s="156"/>
    </row>
    <row r="27" spans="3:4" ht="12.75">
      <c r="C27" s="201">
        <f>+C26*1.05</f>
        <v>77560875</v>
      </c>
      <c r="D27" s="5"/>
    </row>
    <row r="28" spans="3:4" ht="12.75">
      <c r="C28" s="5"/>
      <c r="D28" s="5"/>
    </row>
  </sheetData>
  <sheetProtection/>
  <mergeCells count="19">
    <mergeCell ref="A21:I21"/>
    <mergeCell ref="A8:A9"/>
    <mergeCell ref="B8:B9"/>
    <mergeCell ref="A10:A12"/>
    <mergeCell ref="D8:I8"/>
    <mergeCell ref="A1:W1"/>
    <mergeCell ref="A4:W4"/>
    <mergeCell ref="A5:W5"/>
    <mergeCell ref="A6:W6"/>
    <mergeCell ref="J8:L8"/>
    <mergeCell ref="M8:O8"/>
    <mergeCell ref="P8:R8"/>
    <mergeCell ref="A2:W2"/>
    <mergeCell ref="A3:W3"/>
    <mergeCell ref="C8:C9"/>
    <mergeCell ref="S8:U8"/>
    <mergeCell ref="V8:V9"/>
    <mergeCell ref="W8:W9"/>
    <mergeCell ref="A7:W7"/>
  </mergeCells>
  <hyperlinks>
    <hyperlink ref="D10" r:id="rId1" display="Construcción hornillas."/>
    <hyperlink ref="D11" r:id="rId2" display="Hectáreas sembradas."/>
  </hyperlinks>
  <printOptions/>
  <pageMargins left="0.3937007874015748" right="0" top="0.1968503937007874" bottom="0" header="0" footer="0"/>
  <pageSetup fitToHeight="1" fitToWidth="1" horizontalDpi="1200" verticalDpi="1200" orientation="landscape" paperSize="5" scale="65" r:id="rId4"/>
  <drawing r:id="rId3"/>
</worksheet>
</file>

<file path=xl/worksheets/sheet6.xml><?xml version="1.0" encoding="utf-8"?>
<worksheet xmlns="http://schemas.openxmlformats.org/spreadsheetml/2006/main" xmlns:r="http://schemas.openxmlformats.org/officeDocument/2006/relationships">
  <dimension ref="A1:IH35"/>
  <sheetViews>
    <sheetView showGridLines="0" zoomScalePageLayoutView="0" workbookViewId="0" topLeftCell="A12">
      <selection activeCell="A31" sqref="A31"/>
    </sheetView>
  </sheetViews>
  <sheetFormatPr defaultColWidth="11.421875" defaultRowHeight="12.75"/>
  <cols>
    <col min="1" max="1" width="30.7109375" style="0" customWidth="1"/>
    <col min="2" max="2" width="30.140625" style="0" bestFit="1" customWidth="1"/>
    <col min="3" max="3" width="25.421875" style="0" bestFit="1" customWidth="1"/>
    <col min="4" max="4" width="15.421875" style="0" bestFit="1" customWidth="1"/>
    <col min="5" max="5" width="5.140625" style="0" bestFit="1" customWidth="1"/>
    <col min="6" max="6" width="4.421875" style="0" bestFit="1" customWidth="1"/>
    <col min="7" max="9" width="4.8515625" style="0" bestFit="1" customWidth="1"/>
    <col min="10" max="10" width="12.57421875" style="0" bestFit="1" customWidth="1"/>
    <col min="11" max="11" width="5.140625" style="0" bestFit="1" customWidth="1"/>
    <col min="12" max="12" width="11.57421875" style="0" bestFit="1" customWidth="1"/>
    <col min="13" max="13" width="12.57421875" style="0" bestFit="1" customWidth="1"/>
    <col min="14" max="14" width="5.140625" style="0" bestFit="1" customWidth="1"/>
    <col min="15" max="15" width="11.57421875" style="0" bestFit="1" customWidth="1"/>
    <col min="16" max="16" width="12.57421875" style="0" bestFit="1" customWidth="1"/>
    <col min="17" max="17" width="5.140625" style="0" bestFit="1" customWidth="1"/>
    <col min="18" max="18" width="11.57421875" style="0" bestFit="1" customWidth="1"/>
    <col min="19" max="19" width="12.57421875" style="0" bestFit="1" customWidth="1"/>
    <col min="20" max="20" width="5.140625" style="0" bestFit="1" customWidth="1"/>
    <col min="21" max="21" width="11.57421875" style="0" bestFit="1" customWidth="1"/>
    <col min="22" max="22" width="14.140625" style="0" bestFit="1" customWidth="1"/>
    <col min="23" max="23" width="11.8515625" style="0" bestFit="1" customWidth="1"/>
  </cols>
  <sheetData>
    <row r="1" spans="1:23" ht="45" customHeight="1" thickBot="1">
      <c r="A1" s="302" t="s">
        <v>122</v>
      </c>
      <c r="B1" s="303"/>
      <c r="C1" s="303"/>
      <c r="D1" s="303"/>
      <c r="E1" s="303"/>
      <c r="F1" s="303"/>
      <c r="G1" s="303"/>
      <c r="H1" s="303"/>
      <c r="I1" s="303"/>
      <c r="J1" s="303"/>
      <c r="K1" s="303"/>
      <c r="L1" s="303"/>
      <c r="M1" s="303"/>
      <c r="N1" s="303"/>
      <c r="O1" s="303"/>
      <c r="P1" s="303"/>
      <c r="Q1" s="303"/>
      <c r="R1" s="303"/>
      <c r="S1" s="303"/>
      <c r="T1" s="303"/>
      <c r="U1" s="303"/>
      <c r="V1" s="303"/>
      <c r="W1" s="304"/>
    </row>
    <row r="2" spans="1:23" s="5" customFormat="1" ht="15">
      <c r="A2" s="254" t="s">
        <v>182</v>
      </c>
      <c r="B2" s="255"/>
      <c r="C2" s="255"/>
      <c r="D2" s="255"/>
      <c r="E2" s="255"/>
      <c r="F2" s="255"/>
      <c r="G2" s="255"/>
      <c r="H2" s="255"/>
      <c r="I2" s="255"/>
      <c r="J2" s="255"/>
      <c r="K2" s="255"/>
      <c r="L2" s="255"/>
      <c r="M2" s="255"/>
      <c r="N2" s="255"/>
      <c r="O2" s="255"/>
      <c r="P2" s="255"/>
      <c r="Q2" s="255"/>
      <c r="R2" s="255"/>
      <c r="S2" s="255"/>
      <c r="T2" s="255"/>
      <c r="U2" s="255"/>
      <c r="V2" s="255"/>
      <c r="W2" s="256"/>
    </row>
    <row r="3" spans="1:23" s="5" customFormat="1" ht="15">
      <c r="A3" s="226" t="s">
        <v>44</v>
      </c>
      <c r="B3" s="227"/>
      <c r="C3" s="227"/>
      <c r="D3" s="227"/>
      <c r="E3" s="227"/>
      <c r="F3" s="227"/>
      <c r="G3" s="227"/>
      <c r="H3" s="227"/>
      <c r="I3" s="227"/>
      <c r="J3" s="227"/>
      <c r="K3" s="227"/>
      <c r="L3" s="227"/>
      <c r="M3" s="227"/>
      <c r="N3" s="227"/>
      <c r="O3" s="227"/>
      <c r="P3" s="227"/>
      <c r="Q3" s="227"/>
      <c r="R3" s="227"/>
      <c r="S3" s="227"/>
      <c r="T3" s="227"/>
      <c r="U3" s="227"/>
      <c r="V3" s="227"/>
      <c r="W3" s="228"/>
    </row>
    <row r="4" spans="1:23" s="5" customFormat="1" ht="15">
      <c r="A4" s="226" t="s">
        <v>187</v>
      </c>
      <c r="B4" s="227"/>
      <c r="C4" s="227"/>
      <c r="D4" s="227"/>
      <c r="E4" s="227"/>
      <c r="F4" s="227"/>
      <c r="G4" s="227"/>
      <c r="H4" s="227"/>
      <c r="I4" s="227"/>
      <c r="J4" s="227"/>
      <c r="K4" s="227"/>
      <c r="L4" s="227"/>
      <c r="M4" s="227"/>
      <c r="N4" s="227"/>
      <c r="O4" s="227"/>
      <c r="P4" s="227"/>
      <c r="Q4" s="227"/>
      <c r="R4" s="227"/>
      <c r="S4" s="227"/>
      <c r="T4" s="227"/>
      <c r="U4" s="227"/>
      <c r="V4" s="227"/>
      <c r="W4" s="228"/>
    </row>
    <row r="5" spans="1:23" s="5" customFormat="1" ht="15">
      <c r="A5" s="226" t="s">
        <v>153</v>
      </c>
      <c r="B5" s="227"/>
      <c r="C5" s="227"/>
      <c r="D5" s="227"/>
      <c r="E5" s="227"/>
      <c r="F5" s="227"/>
      <c r="G5" s="227"/>
      <c r="H5" s="227"/>
      <c r="I5" s="227"/>
      <c r="J5" s="227"/>
      <c r="K5" s="227"/>
      <c r="L5" s="227"/>
      <c r="M5" s="227"/>
      <c r="N5" s="227"/>
      <c r="O5" s="227"/>
      <c r="P5" s="227"/>
      <c r="Q5" s="227"/>
      <c r="R5" s="227"/>
      <c r="S5" s="227"/>
      <c r="T5" s="227"/>
      <c r="U5" s="227"/>
      <c r="V5" s="227"/>
      <c r="W5" s="228"/>
    </row>
    <row r="6" spans="1:23" s="5" customFormat="1" ht="91.5" customHeight="1">
      <c r="A6" s="229" t="s">
        <v>191</v>
      </c>
      <c r="B6" s="230"/>
      <c r="C6" s="230"/>
      <c r="D6" s="230"/>
      <c r="E6" s="230"/>
      <c r="F6" s="230"/>
      <c r="G6" s="230"/>
      <c r="H6" s="230"/>
      <c r="I6" s="230"/>
      <c r="J6" s="230"/>
      <c r="K6" s="230"/>
      <c r="L6" s="230"/>
      <c r="M6" s="230"/>
      <c r="N6" s="230"/>
      <c r="O6" s="230"/>
      <c r="P6" s="230"/>
      <c r="Q6" s="230"/>
      <c r="R6" s="230"/>
      <c r="S6" s="230"/>
      <c r="T6" s="230"/>
      <c r="U6" s="230"/>
      <c r="V6" s="230"/>
      <c r="W6" s="231"/>
    </row>
    <row r="7" spans="1:23" s="5" customFormat="1" ht="91.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42" ht="12.75">
      <c r="A8" s="283" t="s">
        <v>0</v>
      </c>
      <c r="B8" s="274" t="s">
        <v>1</v>
      </c>
      <c r="C8" s="280" t="s">
        <v>2</v>
      </c>
      <c r="D8" s="283" t="s">
        <v>3</v>
      </c>
      <c r="E8" s="274"/>
      <c r="F8" s="274"/>
      <c r="G8" s="274"/>
      <c r="H8" s="274"/>
      <c r="I8" s="279"/>
      <c r="J8" s="267" t="s">
        <v>5</v>
      </c>
      <c r="K8" s="268"/>
      <c r="L8" s="268"/>
      <c r="M8" s="268" t="s">
        <v>6</v>
      </c>
      <c r="N8" s="268"/>
      <c r="O8" s="268"/>
      <c r="P8" s="268" t="s">
        <v>7</v>
      </c>
      <c r="Q8" s="268"/>
      <c r="R8" s="268"/>
      <c r="S8" s="268" t="s">
        <v>8</v>
      </c>
      <c r="T8" s="268"/>
      <c r="U8" s="268"/>
      <c r="V8" s="270" t="s">
        <v>46</v>
      </c>
      <c r="W8" s="269" t="s">
        <v>38</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ht="24.75" thickBot="1">
      <c r="A9" s="259"/>
      <c r="B9" s="243"/>
      <c r="C9" s="245"/>
      <c r="D9" s="182" t="s">
        <v>4</v>
      </c>
      <c r="E9" s="183" t="s">
        <v>40</v>
      </c>
      <c r="F9" s="184">
        <v>2012</v>
      </c>
      <c r="G9" s="184">
        <v>2013</v>
      </c>
      <c r="H9" s="184">
        <v>2014</v>
      </c>
      <c r="I9" s="185">
        <v>2015</v>
      </c>
      <c r="J9" s="186" t="s">
        <v>41</v>
      </c>
      <c r="K9" s="183" t="s">
        <v>190</v>
      </c>
      <c r="L9" s="183" t="s">
        <v>42</v>
      </c>
      <c r="M9" s="183" t="s">
        <v>41</v>
      </c>
      <c r="N9" s="183" t="s">
        <v>190</v>
      </c>
      <c r="O9" s="183" t="s">
        <v>42</v>
      </c>
      <c r="P9" s="183" t="s">
        <v>41</v>
      </c>
      <c r="Q9" s="183" t="s">
        <v>190</v>
      </c>
      <c r="R9" s="183" t="s">
        <v>42</v>
      </c>
      <c r="S9" s="183" t="s">
        <v>41</v>
      </c>
      <c r="T9" s="183" t="s">
        <v>190</v>
      </c>
      <c r="U9" s="183" t="s">
        <v>42</v>
      </c>
      <c r="V9" s="233"/>
      <c r="W9" s="258"/>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row>
    <row r="10" spans="1:242" ht="12.75">
      <c r="A10" s="305" t="s">
        <v>158</v>
      </c>
      <c r="B10" s="123" t="s">
        <v>226</v>
      </c>
      <c r="C10" s="124" t="s">
        <v>130</v>
      </c>
      <c r="D10" s="124" t="s">
        <v>130</v>
      </c>
      <c r="E10" s="2">
        <v>0</v>
      </c>
      <c r="F10" s="125">
        <v>1</v>
      </c>
      <c r="G10" s="125">
        <v>0</v>
      </c>
      <c r="H10" s="125">
        <v>0</v>
      </c>
      <c r="I10" s="125">
        <v>0</v>
      </c>
      <c r="J10" s="126">
        <v>0</v>
      </c>
      <c r="K10" s="126">
        <v>0</v>
      </c>
      <c r="L10" s="126">
        <f>4000000</f>
        <v>4000000</v>
      </c>
      <c r="M10" s="126">
        <v>0</v>
      </c>
      <c r="N10" s="126">
        <v>0</v>
      </c>
      <c r="O10" s="126">
        <f>+L10*1.05</f>
        <v>4200000</v>
      </c>
      <c r="P10" s="126">
        <v>0</v>
      </c>
      <c r="Q10" s="126">
        <v>0</v>
      </c>
      <c r="R10" s="126">
        <f>+O10*1.05</f>
        <v>4410000</v>
      </c>
      <c r="S10" s="126">
        <v>0</v>
      </c>
      <c r="T10" s="126">
        <v>0</v>
      </c>
      <c r="U10" s="126">
        <f>+R10*1.05</f>
        <v>4630500</v>
      </c>
      <c r="V10" s="149">
        <f>SUM(J10:U10)</f>
        <v>17240500</v>
      </c>
      <c r="W10" s="150">
        <f aca="true" t="shared" si="0" ref="W10:W21">+V10/$V$22</f>
        <v>0.013793103448275862</v>
      </c>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row>
    <row r="11" spans="1:242" ht="24">
      <c r="A11" s="306"/>
      <c r="B11" s="120" t="s">
        <v>225</v>
      </c>
      <c r="C11" s="9" t="s">
        <v>124</v>
      </c>
      <c r="D11" s="159" t="s">
        <v>123</v>
      </c>
      <c r="E11" s="1">
        <f>6/4</f>
        <v>1.5</v>
      </c>
      <c r="F11" s="12">
        <v>3</v>
      </c>
      <c r="G11" s="12">
        <v>4</v>
      </c>
      <c r="H11" s="12">
        <v>4</v>
      </c>
      <c r="I11" s="12">
        <v>4</v>
      </c>
      <c r="J11" s="121">
        <f>40000000+24000000</f>
        <v>64000000</v>
      </c>
      <c r="K11" s="121">
        <v>0</v>
      </c>
      <c r="L11" s="121">
        <f>4000000+6000000</f>
        <v>10000000</v>
      </c>
      <c r="M11" s="121">
        <f>+J11*1.05</f>
        <v>67200000</v>
      </c>
      <c r="N11" s="121">
        <v>0</v>
      </c>
      <c r="O11" s="121">
        <f>+L11*1.05</f>
        <v>10500000</v>
      </c>
      <c r="P11" s="121">
        <f>+M11*1.05</f>
        <v>70560000</v>
      </c>
      <c r="Q11" s="121">
        <v>0</v>
      </c>
      <c r="R11" s="121">
        <f>+O11*1.05</f>
        <v>11025000</v>
      </c>
      <c r="S11" s="121">
        <f>+P11*1.05</f>
        <v>74088000</v>
      </c>
      <c r="T11" s="121">
        <v>0</v>
      </c>
      <c r="U11" s="121">
        <f>+R11*1.05</f>
        <v>11576250</v>
      </c>
      <c r="V11" s="151">
        <f aca="true" t="shared" si="1" ref="V11:V21">SUM(J11:U11)</f>
        <v>318949250</v>
      </c>
      <c r="W11" s="152">
        <f t="shared" si="0"/>
        <v>0.25517241379310346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row>
    <row r="12" spans="1:242" ht="24">
      <c r="A12" s="306"/>
      <c r="B12" s="122" t="s">
        <v>227</v>
      </c>
      <c r="C12" s="9" t="s">
        <v>125</v>
      </c>
      <c r="D12" s="15" t="s">
        <v>126</v>
      </c>
      <c r="E12" s="1">
        <v>0</v>
      </c>
      <c r="F12" s="12">
        <v>0</v>
      </c>
      <c r="G12" s="12">
        <v>1</v>
      </c>
      <c r="H12" s="12">
        <v>0</v>
      </c>
      <c r="I12" s="12">
        <v>1</v>
      </c>
      <c r="J12" s="121">
        <f>10000000+56000000</f>
        <v>66000000</v>
      </c>
      <c r="K12" s="121">
        <v>0</v>
      </c>
      <c r="L12" s="121">
        <v>0</v>
      </c>
      <c r="M12" s="121">
        <f>+J12*1.05</f>
        <v>69300000</v>
      </c>
      <c r="N12" s="121">
        <v>0</v>
      </c>
      <c r="O12" s="121">
        <f>+L12*1.05</f>
        <v>0</v>
      </c>
      <c r="P12" s="121">
        <f>+M12*1.05</f>
        <v>72765000</v>
      </c>
      <c r="Q12" s="121">
        <v>0</v>
      </c>
      <c r="R12" s="121">
        <f>+O12*1.05</f>
        <v>0</v>
      </c>
      <c r="S12" s="121">
        <f>+P12*1.05</f>
        <v>76403250</v>
      </c>
      <c r="T12" s="121">
        <v>0</v>
      </c>
      <c r="U12" s="121">
        <f>+R12*1.05</f>
        <v>0</v>
      </c>
      <c r="V12" s="151">
        <f t="shared" si="1"/>
        <v>284468250</v>
      </c>
      <c r="W12" s="152">
        <f t="shared" si="0"/>
        <v>0.22758620689655173</v>
      </c>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row>
    <row r="13" spans="1:242" ht="24">
      <c r="A13" s="306"/>
      <c r="B13" s="122" t="s">
        <v>131</v>
      </c>
      <c r="C13" s="9" t="s">
        <v>264</v>
      </c>
      <c r="D13" s="15" t="s">
        <v>149</v>
      </c>
      <c r="E13" s="1">
        <v>2</v>
      </c>
      <c r="F13" s="12">
        <v>2</v>
      </c>
      <c r="G13" s="12">
        <v>2</v>
      </c>
      <c r="H13" s="12">
        <v>2</v>
      </c>
      <c r="I13" s="12">
        <v>2</v>
      </c>
      <c r="J13" s="121">
        <v>20000000</v>
      </c>
      <c r="K13" s="121">
        <v>0</v>
      </c>
      <c r="L13" s="121">
        <v>0</v>
      </c>
      <c r="M13" s="121">
        <f>+J13*1.05</f>
        <v>21000000</v>
      </c>
      <c r="N13" s="121">
        <v>0</v>
      </c>
      <c r="O13" s="121">
        <f>+L13*1.05</f>
        <v>0</v>
      </c>
      <c r="P13" s="121">
        <f>+M13*1.05</f>
        <v>22050000</v>
      </c>
      <c r="Q13" s="121">
        <v>0</v>
      </c>
      <c r="R13" s="121">
        <f>+O13*1.05</f>
        <v>0</v>
      </c>
      <c r="S13" s="121">
        <f>+P13*1.05</f>
        <v>23152500</v>
      </c>
      <c r="T13" s="121">
        <v>0</v>
      </c>
      <c r="U13" s="121">
        <f>+R13*1.05</f>
        <v>0</v>
      </c>
      <c r="V13" s="151">
        <f t="shared" si="1"/>
        <v>86202500</v>
      </c>
      <c r="W13" s="152">
        <f t="shared" si="0"/>
        <v>0.06896551724137931</v>
      </c>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1:242" ht="24">
      <c r="A14" s="306"/>
      <c r="B14" s="119" t="s">
        <v>157</v>
      </c>
      <c r="C14" s="9"/>
      <c r="D14" s="15"/>
      <c r="E14" s="1"/>
      <c r="F14" s="12"/>
      <c r="G14" s="12"/>
      <c r="H14" s="10"/>
      <c r="I14" s="10"/>
      <c r="J14" s="121">
        <v>0</v>
      </c>
      <c r="K14" s="121">
        <v>0</v>
      </c>
      <c r="L14" s="121">
        <v>0</v>
      </c>
      <c r="M14" s="121">
        <v>0</v>
      </c>
      <c r="N14" s="121">
        <v>0</v>
      </c>
      <c r="O14" s="121">
        <v>0</v>
      </c>
      <c r="P14" s="121">
        <v>0</v>
      </c>
      <c r="Q14" s="121">
        <v>0</v>
      </c>
      <c r="R14" s="121">
        <v>0</v>
      </c>
      <c r="S14" s="121">
        <v>0</v>
      </c>
      <c r="T14" s="121">
        <v>0</v>
      </c>
      <c r="U14" s="121">
        <v>0</v>
      </c>
      <c r="V14" s="151">
        <f aca="true" t="shared" si="2" ref="V14:V19">SUM(J14:U14)</f>
        <v>0</v>
      </c>
      <c r="W14" s="152">
        <f t="shared" si="0"/>
        <v>0</v>
      </c>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1:242" ht="24">
      <c r="A15" s="306"/>
      <c r="B15" s="119" t="s">
        <v>154</v>
      </c>
      <c r="C15" s="9"/>
      <c r="D15" s="15"/>
      <c r="E15" s="1"/>
      <c r="F15" s="12"/>
      <c r="G15" s="12"/>
      <c r="H15" s="10"/>
      <c r="I15" s="10"/>
      <c r="J15" s="121">
        <v>0</v>
      </c>
      <c r="K15" s="121">
        <v>0</v>
      </c>
      <c r="L15" s="121">
        <v>0</v>
      </c>
      <c r="M15" s="121">
        <v>0</v>
      </c>
      <c r="N15" s="121">
        <v>0</v>
      </c>
      <c r="O15" s="121">
        <v>0</v>
      </c>
      <c r="P15" s="121">
        <v>0</v>
      </c>
      <c r="Q15" s="121">
        <v>0</v>
      </c>
      <c r="R15" s="121">
        <v>0</v>
      </c>
      <c r="S15" s="121">
        <v>0</v>
      </c>
      <c r="T15" s="121">
        <v>0</v>
      </c>
      <c r="U15" s="121">
        <v>0</v>
      </c>
      <c r="V15" s="151">
        <f t="shared" si="2"/>
        <v>0</v>
      </c>
      <c r="W15" s="152">
        <f t="shared" si="0"/>
        <v>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1:242" ht="24">
      <c r="A16" s="306"/>
      <c r="B16" s="119" t="s">
        <v>155</v>
      </c>
      <c r="C16" s="9"/>
      <c r="D16" s="15"/>
      <c r="E16" s="1"/>
      <c r="F16" s="12"/>
      <c r="G16" s="12"/>
      <c r="H16" s="10"/>
      <c r="I16" s="10"/>
      <c r="J16" s="121">
        <v>0</v>
      </c>
      <c r="K16" s="121">
        <v>0</v>
      </c>
      <c r="L16" s="121">
        <v>0</v>
      </c>
      <c r="M16" s="121">
        <v>0</v>
      </c>
      <c r="N16" s="121">
        <v>0</v>
      </c>
      <c r="O16" s="121">
        <v>0</v>
      </c>
      <c r="P16" s="121">
        <v>0</v>
      </c>
      <c r="Q16" s="121">
        <v>0</v>
      </c>
      <c r="R16" s="121">
        <v>0</v>
      </c>
      <c r="S16" s="121">
        <v>0</v>
      </c>
      <c r="T16" s="121">
        <v>0</v>
      </c>
      <c r="U16" s="121">
        <v>0</v>
      </c>
      <c r="V16" s="151">
        <f t="shared" si="2"/>
        <v>0</v>
      </c>
      <c r="W16" s="152">
        <f t="shared" si="0"/>
        <v>0</v>
      </c>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row>
    <row r="17" spans="1:242" ht="12.75">
      <c r="A17" s="306"/>
      <c r="B17" s="119" t="s">
        <v>129</v>
      </c>
      <c r="C17" s="9"/>
      <c r="D17" s="15"/>
      <c r="E17" s="1"/>
      <c r="F17" s="12"/>
      <c r="G17" s="12"/>
      <c r="H17" s="10"/>
      <c r="I17" s="10"/>
      <c r="J17" s="121">
        <v>0</v>
      </c>
      <c r="K17" s="121">
        <v>0</v>
      </c>
      <c r="L17" s="121">
        <v>0</v>
      </c>
      <c r="M17" s="121">
        <v>0</v>
      </c>
      <c r="N17" s="121">
        <v>0</v>
      </c>
      <c r="O17" s="121">
        <v>0</v>
      </c>
      <c r="P17" s="121">
        <v>0</v>
      </c>
      <c r="Q17" s="121">
        <v>0</v>
      </c>
      <c r="R17" s="121">
        <v>0</v>
      </c>
      <c r="S17" s="121">
        <v>0</v>
      </c>
      <c r="T17" s="121">
        <v>0</v>
      </c>
      <c r="U17" s="121">
        <v>0</v>
      </c>
      <c r="V17" s="151">
        <f t="shared" si="2"/>
        <v>0</v>
      </c>
      <c r="W17" s="152">
        <f t="shared" si="0"/>
        <v>0</v>
      </c>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24">
      <c r="A18" s="306"/>
      <c r="B18" s="218" t="s">
        <v>249</v>
      </c>
      <c r="C18" s="9"/>
      <c r="D18" s="15"/>
      <c r="E18" s="1"/>
      <c r="F18" s="12"/>
      <c r="G18" s="12"/>
      <c r="H18" s="10"/>
      <c r="I18" s="10"/>
      <c r="J18" s="121">
        <v>0</v>
      </c>
      <c r="K18" s="121">
        <v>0</v>
      </c>
      <c r="L18" s="121">
        <v>0</v>
      </c>
      <c r="M18" s="121">
        <v>0</v>
      </c>
      <c r="N18" s="121">
        <v>0</v>
      </c>
      <c r="O18" s="121"/>
      <c r="P18" s="121">
        <v>0</v>
      </c>
      <c r="Q18" s="121">
        <v>0</v>
      </c>
      <c r="R18" s="121">
        <v>0</v>
      </c>
      <c r="S18" s="121">
        <v>0</v>
      </c>
      <c r="T18" s="121">
        <v>0</v>
      </c>
      <c r="U18" s="121">
        <v>0</v>
      </c>
      <c r="V18" s="151">
        <f t="shared" si="2"/>
        <v>0</v>
      </c>
      <c r="W18" s="152">
        <f t="shared" si="0"/>
        <v>0</v>
      </c>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ht="12.75">
      <c r="A19" s="307"/>
      <c r="B19" s="218" t="s">
        <v>250</v>
      </c>
      <c r="C19" s="9"/>
      <c r="D19" s="15"/>
      <c r="E19" s="1"/>
      <c r="F19" s="12"/>
      <c r="G19" s="12"/>
      <c r="H19" s="10"/>
      <c r="I19" s="10"/>
      <c r="J19" s="121">
        <v>0</v>
      </c>
      <c r="K19" s="121">
        <v>0</v>
      </c>
      <c r="L19" s="121">
        <v>0</v>
      </c>
      <c r="M19" s="121">
        <v>0</v>
      </c>
      <c r="N19" s="121">
        <v>0</v>
      </c>
      <c r="O19" s="121">
        <v>0</v>
      </c>
      <c r="P19" s="121">
        <v>0</v>
      </c>
      <c r="Q19" s="121">
        <v>0</v>
      </c>
      <c r="R19" s="121">
        <v>0</v>
      </c>
      <c r="S19" s="121">
        <v>0</v>
      </c>
      <c r="T19" s="121">
        <v>0</v>
      </c>
      <c r="U19" s="121">
        <v>0</v>
      </c>
      <c r="V19" s="151">
        <f t="shared" si="2"/>
        <v>0</v>
      </c>
      <c r="W19" s="152">
        <f t="shared" si="0"/>
        <v>0</v>
      </c>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242" ht="24">
      <c r="A20" s="300" t="s">
        <v>132</v>
      </c>
      <c r="B20" s="218" t="s">
        <v>133</v>
      </c>
      <c r="C20" s="9" t="s">
        <v>238</v>
      </c>
      <c r="D20" s="15"/>
      <c r="E20" s="1">
        <v>4</v>
      </c>
      <c r="F20" s="12">
        <v>4</v>
      </c>
      <c r="G20" s="12">
        <v>4</v>
      </c>
      <c r="H20" s="12">
        <v>4</v>
      </c>
      <c r="I20" s="12">
        <v>4</v>
      </c>
      <c r="J20" s="121">
        <v>100000000</v>
      </c>
      <c r="K20" s="121">
        <v>0</v>
      </c>
      <c r="L20" s="121">
        <v>0</v>
      </c>
      <c r="M20" s="121">
        <f>+J20*1.05</f>
        <v>105000000</v>
      </c>
      <c r="N20" s="121">
        <v>0</v>
      </c>
      <c r="O20" s="121">
        <f>+L20*1.05</f>
        <v>0</v>
      </c>
      <c r="P20" s="121">
        <f>+M20*1.05</f>
        <v>110250000</v>
      </c>
      <c r="Q20" s="121">
        <v>0</v>
      </c>
      <c r="R20" s="121">
        <f>+O20*1.05</f>
        <v>0</v>
      </c>
      <c r="S20" s="121">
        <f>+P20*1.05</f>
        <v>115762500</v>
      </c>
      <c r="T20" s="121">
        <v>0</v>
      </c>
      <c r="U20" s="121">
        <f>+R20*1.05</f>
        <v>0</v>
      </c>
      <c r="V20" s="151">
        <f t="shared" si="1"/>
        <v>431012500</v>
      </c>
      <c r="W20" s="152">
        <f t="shared" si="0"/>
        <v>0.3448275862068966</v>
      </c>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1:242" ht="13.5" thickBot="1">
      <c r="A21" s="301"/>
      <c r="B21" s="127" t="s">
        <v>134</v>
      </c>
      <c r="C21" s="128" t="s">
        <v>135</v>
      </c>
      <c r="D21" s="129"/>
      <c r="E21" s="130">
        <f>120/4</f>
        <v>30</v>
      </c>
      <c r="F21" s="131">
        <v>50</v>
      </c>
      <c r="G21" s="131">
        <v>50</v>
      </c>
      <c r="H21" s="131">
        <v>75</v>
      </c>
      <c r="I21" s="131">
        <v>75</v>
      </c>
      <c r="J21" s="148">
        <f>21000000+5000000</f>
        <v>26000000</v>
      </c>
      <c r="K21" s="148">
        <v>0</v>
      </c>
      <c r="L21" s="148">
        <v>0</v>
      </c>
      <c r="M21" s="148">
        <f>+J21*1.05</f>
        <v>27300000</v>
      </c>
      <c r="N21" s="148">
        <v>0</v>
      </c>
      <c r="O21" s="148">
        <f>+L21*1.05</f>
        <v>0</v>
      </c>
      <c r="P21" s="148">
        <f>+M21*1.05</f>
        <v>28665000</v>
      </c>
      <c r="Q21" s="148">
        <v>0</v>
      </c>
      <c r="R21" s="148">
        <f>+O21*1.05</f>
        <v>0</v>
      </c>
      <c r="S21" s="148">
        <f>+P21*1.05</f>
        <v>30098250</v>
      </c>
      <c r="T21" s="148">
        <v>0</v>
      </c>
      <c r="U21" s="148">
        <f>+R21*1.05</f>
        <v>0</v>
      </c>
      <c r="V21" s="153">
        <f t="shared" si="1"/>
        <v>112063250</v>
      </c>
      <c r="W21" s="154">
        <f t="shared" si="0"/>
        <v>0.0896551724137931</v>
      </c>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s="51" customFormat="1" ht="30" customHeight="1" thickBot="1">
      <c r="A22" s="237" t="s">
        <v>39</v>
      </c>
      <c r="B22" s="238"/>
      <c r="C22" s="238"/>
      <c r="D22" s="238"/>
      <c r="E22" s="238"/>
      <c r="F22" s="238"/>
      <c r="G22" s="238"/>
      <c r="H22" s="238"/>
      <c r="I22" s="238"/>
      <c r="J22" s="112">
        <f>SUM(J10:J21)</f>
        <v>276000000</v>
      </c>
      <c r="K22" s="50">
        <f aca="true" t="shared" si="3" ref="K22:W22">SUM(K10:K21)</f>
        <v>0</v>
      </c>
      <c r="L22" s="50">
        <f t="shared" si="3"/>
        <v>14000000</v>
      </c>
      <c r="M22" s="50">
        <f t="shared" si="3"/>
        <v>289800000</v>
      </c>
      <c r="N22" s="50">
        <f t="shared" si="3"/>
        <v>0</v>
      </c>
      <c r="O22" s="50">
        <f t="shared" si="3"/>
        <v>14700000</v>
      </c>
      <c r="P22" s="50">
        <f t="shared" si="3"/>
        <v>304290000</v>
      </c>
      <c r="Q22" s="50">
        <f t="shared" si="3"/>
        <v>0</v>
      </c>
      <c r="R22" s="50">
        <f t="shared" si="3"/>
        <v>15435000</v>
      </c>
      <c r="S22" s="50">
        <f t="shared" si="3"/>
        <v>319504500</v>
      </c>
      <c r="T22" s="50">
        <f t="shared" si="3"/>
        <v>0</v>
      </c>
      <c r="U22" s="50">
        <f t="shared" si="3"/>
        <v>16206750</v>
      </c>
      <c r="V22" s="50">
        <f t="shared" si="3"/>
        <v>1249936250</v>
      </c>
      <c r="W22" s="155">
        <f t="shared" si="3"/>
        <v>1</v>
      </c>
      <c r="X22" s="132"/>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row>
    <row r="25" spans="3:10" ht="12.75">
      <c r="C25" s="156">
        <f>+J22+L22</f>
        <v>290000000</v>
      </c>
      <c r="J25" s="156"/>
    </row>
    <row r="26" spans="3:4" ht="12.75">
      <c r="C26" s="156">
        <f>+C25*1.05</f>
        <v>304500000</v>
      </c>
      <c r="D26" s="156"/>
    </row>
    <row r="27" spans="3:4" ht="12.75">
      <c r="C27" s="156">
        <f>+C26*1.05</f>
        <v>319725000</v>
      </c>
      <c r="D27" s="156"/>
    </row>
    <row r="28" ht="12.75">
      <c r="C28" s="156">
        <f>+C27*1.05</f>
        <v>335711250</v>
      </c>
    </row>
    <row r="34" ht="12.75">
      <c r="A34" t="s">
        <v>233</v>
      </c>
    </row>
    <row r="35" ht="12.75">
      <c r="A35" t="s">
        <v>234</v>
      </c>
    </row>
  </sheetData>
  <sheetProtection/>
  <mergeCells count="20">
    <mergeCell ref="A10:A19"/>
    <mergeCell ref="D8:I8"/>
    <mergeCell ref="M8:O8"/>
    <mergeCell ref="A4:W4"/>
    <mergeCell ref="W8:W9"/>
    <mergeCell ref="A6:W6"/>
    <mergeCell ref="J8:L8"/>
    <mergeCell ref="S8:U8"/>
    <mergeCell ref="B8:B9"/>
    <mergeCell ref="P8:R8"/>
    <mergeCell ref="A8:A9"/>
    <mergeCell ref="A22:I22"/>
    <mergeCell ref="A7:W7"/>
    <mergeCell ref="A20:A21"/>
    <mergeCell ref="A1:W1"/>
    <mergeCell ref="A2:W2"/>
    <mergeCell ref="A3:W3"/>
    <mergeCell ref="C8:C9"/>
    <mergeCell ref="V8:V9"/>
    <mergeCell ref="A5:W5"/>
  </mergeCells>
  <hyperlinks>
    <hyperlink ref="D11" r:id="rId1" display="Mantenimiento."/>
  </hyperlinks>
  <printOptions/>
  <pageMargins left="0.3937007874015748" right="0" top="0" bottom="0" header="0" footer="0"/>
  <pageSetup horizontalDpi="1200" verticalDpi="1200" orientation="landscape" paperSize="5" scale="63" r:id="rId3"/>
  <drawing r:id="rId2"/>
</worksheet>
</file>

<file path=xl/worksheets/sheet7.xml><?xml version="1.0" encoding="utf-8"?>
<worksheet xmlns="http://schemas.openxmlformats.org/spreadsheetml/2006/main" xmlns:r="http://schemas.openxmlformats.org/officeDocument/2006/relationships">
  <dimension ref="A1:Y29"/>
  <sheetViews>
    <sheetView showGridLines="0" zoomScalePageLayoutView="0" workbookViewId="0" topLeftCell="A19">
      <selection activeCell="B34" sqref="B34"/>
    </sheetView>
  </sheetViews>
  <sheetFormatPr defaultColWidth="11.421875" defaultRowHeight="12.75"/>
  <cols>
    <col min="1" max="3" width="30.7109375" style="19" customWidth="1"/>
    <col min="4" max="4" width="14.28125" style="19" bestFit="1" customWidth="1"/>
    <col min="5" max="5" width="5.140625" style="19" bestFit="1" customWidth="1"/>
    <col min="6" max="9" width="4.421875" style="19" bestFit="1" customWidth="1"/>
    <col min="10" max="10" width="12.7109375" style="19" bestFit="1" customWidth="1"/>
    <col min="11" max="11" width="5.140625" style="19" bestFit="1" customWidth="1"/>
    <col min="12" max="12" width="11.57421875" style="19" bestFit="1" customWidth="1"/>
    <col min="13" max="13" width="12.7109375" style="19" bestFit="1" customWidth="1"/>
    <col min="14" max="14" width="5.140625" style="19" bestFit="1" customWidth="1"/>
    <col min="15" max="16" width="11.57421875" style="19" bestFit="1" customWidth="1"/>
    <col min="17" max="17" width="5.140625" style="19" bestFit="1" customWidth="1"/>
    <col min="18" max="19" width="11.57421875" style="19" bestFit="1" customWidth="1"/>
    <col min="20" max="20" width="5.140625" style="19" bestFit="1" customWidth="1"/>
    <col min="21" max="21" width="11.57421875" style="19" bestFit="1" customWidth="1"/>
    <col min="22" max="22" width="14.00390625" style="19" bestFit="1" customWidth="1"/>
    <col min="23" max="23" width="11.8515625" style="19" bestFit="1" customWidth="1"/>
    <col min="24" max="16384" width="11.421875" style="19" customWidth="1"/>
  </cols>
  <sheetData>
    <row r="1" spans="1:25" ht="45" customHeight="1" thickBot="1">
      <c r="A1" s="302" t="s">
        <v>122</v>
      </c>
      <c r="B1" s="303"/>
      <c r="C1" s="303"/>
      <c r="D1" s="303"/>
      <c r="E1" s="303"/>
      <c r="F1" s="303"/>
      <c r="G1" s="303"/>
      <c r="H1" s="303"/>
      <c r="I1" s="303"/>
      <c r="J1" s="303"/>
      <c r="K1" s="303"/>
      <c r="L1" s="303"/>
      <c r="M1" s="303"/>
      <c r="N1" s="303"/>
      <c r="O1" s="303"/>
      <c r="P1" s="303"/>
      <c r="Q1" s="303"/>
      <c r="R1" s="303"/>
      <c r="S1" s="303"/>
      <c r="T1" s="303"/>
      <c r="U1" s="303"/>
      <c r="V1" s="303"/>
      <c r="W1" s="304"/>
      <c r="X1" s="20"/>
      <c r="Y1" s="20"/>
    </row>
    <row r="2" spans="1:23" s="20" customFormat="1" ht="15">
      <c r="A2" s="317" t="s">
        <v>182</v>
      </c>
      <c r="B2" s="318"/>
      <c r="C2" s="318"/>
      <c r="D2" s="318"/>
      <c r="E2" s="318"/>
      <c r="F2" s="318"/>
      <c r="G2" s="318"/>
      <c r="H2" s="318"/>
      <c r="I2" s="318"/>
      <c r="J2" s="318"/>
      <c r="K2" s="318"/>
      <c r="L2" s="318"/>
      <c r="M2" s="318"/>
      <c r="N2" s="318"/>
      <c r="O2" s="318"/>
      <c r="P2" s="318"/>
      <c r="Q2" s="318"/>
      <c r="R2" s="318"/>
      <c r="S2" s="318"/>
      <c r="T2" s="318"/>
      <c r="U2" s="318"/>
      <c r="V2" s="318"/>
      <c r="W2" s="319"/>
    </row>
    <row r="3" spans="1:25" s="20" customFormat="1" ht="15">
      <c r="A3" s="320" t="s">
        <v>146</v>
      </c>
      <c r="B3" s="321"/>
      <c r="C3" s="321"/>
      <c r="D3" s="321"/>
      <c r="E3" s="321"/>
      <c r="F3" s="321"/>
      <c r="G3" s="321"/>
      <c r="H3" s="321"/>
      <c r="I3" s="321"/>
      <c r="J3" s="321"/>
      <c r="K3" s="321"/>
      <c r="L3" s="321"/>
      <c r="M3" s="321"/>
      <c r="N3" s="321"/>
      <c r="O3" s="321"/>
      <c r="P3" s="321"/>
      <c r="Q3" s="321"/>
      <c r="R3" s="321"/>
      <c r="S3" s="321"/>
      <c r="T3" s="321"/>
      <c r="U3" s="321"/>
      <c r="V3" s="321"/>
      <c r="W3" s="322"/>
      <c r="X3" s="21"/>
      <c r="Y3" s="21"/>
    </row>
    <row r="4" spans="1:25" s="20" customFormat="1" ht="15">
      <c r="A4" s="320" t="s">
        <v>188</v>
      </c>
      <c r="B4" s="321"/>
      <c r="C4" s="321"/>
      <c r="D4" s="321"/>
      <c r="E4" s="321"/>
      <c r="F4" s="321"/>
      <c r="G4" s="321"/>
      <c r="H4" s="321"/>
      <c r="I4" s="321"/>
      <c r="J4" s="321"/>
      <c r="K4" s="321"/>
      <c r="L4" s="321"/>
      <c r="M4" s="321"/>
      <c r="N4" s="321"/>
      <c r="O4" s="321"/>
      <c r="P4" s="321"/>
      <c r="Q4" s="321"/>
      <c r="R4" s="321"/>
      <c r="S4" s="321"/>
      <c r="T4" s="321"/>
      <c r="U4" s="321"/>
      <c r="V4" s="321"/>
      <c r="W4" s="322"/>
      <c r="X4" s="21"/>
      <c r="Y4" s="21"/>
    </row>
    <row r="5" spans="1:25" s="20" customFormat="1" ht="15">
      <c r="A5" s="320" t="s">
        <v>145</v>
      </c>
      <c r="B5" s="321"/>
      <c r="C5" s="321"/>
      <c r="D5" s="321"/>
      <c r="E5" s="321"/>
      <c r="F5" s="321"/>
      <c r="G5" s="321"/>
      <c r="H5" s="321"/>
      <c r="I5" s="321"/>
      <c r="J5" s="321"/>
      <c r="K5" s="321"/>
      <c r="L5" s="321"/>
      <c r="M5" s="321"/>
      <c r="N5" s="321"/>
      <c r="O5" s="321"/>
      <c r="P5" s="321"/>
      <c r="Q5" s="321"/>
      <c r="R5" s="321"/>
      <c r="S5" s="321"/>
      <c r="T5" s="321"/>
      <c r="U5" s="321"/>
      <c r="V5" s="321"/>
      <c r="W5" s="322"/>
      <c r="X5" s="21"/>
      <c r="Y5" s="21"/>
    </row>
    <row r="6" spans="1:25" ht="96" customHeight="1">
      <c r="A6" s="323" t="s">
        <v>165</v>
      </c>
      <c r="B6" s="324"/>
      <c r="C6" s="324"/>
      <c r="D6" s="324"/>
      <c r="E6" s="324"/>
      <c r="F6" s="324"/>
      <c r="G6" s="324"/>
      <c r="H6" s="324"/>
      <c r="I6" s="324"/>
      <c r="J6" s="324"/>
      <c r="K6" s="324"/>
      <c r="L6" s="324"/>
      <c r="M6" s="324"/>
      <c r="N6" s="324"/>
      <c r="O6" s="324"/>
      <c r="P6" s="324"/>
      <c r="Q6" s="324"/>
      <c r="R6" s="324"/>
      <c r="S6" s="324"/>
      <c r="T6" s="324"/>
      <c r="U6" s="324"/>
      <c r="V6" s="324"/>
      <c r="W6" s="325"/>
      <c r="X6" s="21"/>
      <c r="Y6" s="21"/>
    </row>
    <row r="7" spans="1:25" ht="96"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c r="X7" s="21"/>
      <c r="Y7" s="21"/>
    </row>
    <row r="8" spans="1:23" s="73" customFormat="1" ht="12.75" thickBot="1">
      <c r="A8" s="310" t="s">
        <v>0</v>
      </c>
      <c r="B8" s="311" t="s">
        <v>1</v>
      </c>
      <c r="C8" s="312" t="s">
        <v>2</v>
      </c>
      <c r="D8" s="313" t="s">
        <v>3</v>
      </c>
      <c r="E8" s="314"/>
      <c r="F8" s="314"/>
      <c r="G8" s="314"/>
      <c r="H8" s="314"/>
      <c r="I8" s="314"/>
      <c r="J8" s="334" t="s">
        <v>5</v>
      </c>
      <c r="K8" s="330"/>
      <c r="L8" s="331"/>
      <c r="M8" s="329" t="s">
        <v>6</v>
      </c>
      <c r="N8" s="330"/>
      <c r="O8" s="331"/>
      <c r="P8" s="329" t="s">
        <v>7</v>
      </c>
      <c r="Q8" s="330"/>
      <c r="R8" s="331"/>
      <c r="S8" s="329" t="s">
        <v>8</v>
      </c>
      <c r="T8" s="330"/>
      <c r="U8" s="331"/>
      <c r="V8" s="332" t="s">
        <v>70</v>
      </c>
      <c r="W8" s="333" t="s">
        <v>38</v>
      </c>
    </row>
    <row r="9" spans="1:23" s="73" customFormat="1" ht="24.75" thickBot="1">
      <c r="A9" s="310"/>
      <c r="B9" s="311"/>
      <c r="C9" s="312"/>
      <c r="D9" s="174" t="s">
        <v>4</v>
      </c>
      <c r="E9" s="175" t="s">
        <v>71</v>
      </c>
      <c r="F9" s="175">
        <v>2012</v>
      </c>
      <c r="G9" s="175">
        <v>2013</v>
      </c>
      <c r="H9" s="175">
        <v>2014</v>
      </c>
      <c r="I9" s="180">
        <v>2015</v>
      </c>
      <c r="J9" s="181" t="s">
        <v>41</v>
      </c>
      <c r="K9" s="179" t="s">
        <v>190</v>
      </c>
      <c r="L9" s="179" t="s">
        <v>42</v>
      </c>
      <c r="M9" s="179" t="s">
        <v>41</v>
      </c>
      <c r="N9" s="179" t="s">
        <v>190</v>
      </c>
      <c r="O9" s="179" t="s">
        <v>42</v>
      </c>
      <c r="P9" s="179" t="s">
        <v>41</v>
      </c>
      <c r="Q9" s="179" t="s">
        <v>190</v>
      </c>
      <c r="R9" s="179" t="s">
        <v>42</v>
      </c>
      <c r="S9" s="179" t="s">
        <v>41</v>
      </c>
      <c r="T9" s="179" t="s">
        <v>190</v>
      </c>
      <c r="U9" s="179" t="s">
        <v>42</v>
      </c>
      <c r="V9" s="332"/>
      <c r="W9" s="333"/>
    </row>
    <row r="10" spans="1:25" s="73" customFormat="1" ht="48">
      <c r="A10" s="315" t="s">
        <v>168</v>
      </c>
      <c r="B10" s="326" t="s">
        <v>193</v>
      </c>
      <c r="C10" s="171" t="s">
        <v>240</v>
      </c>
      <c r="D10" s="163" t="s">
        <v>72</v>
      </c>
      <c r="E10" s="74">
        <v>676</v>
      </c>
      <c r="F10" s="74">
        <v>676</v>
      </c>
      <c r="G10" s="74">
        <v>676</v>
      </c>
      <c r="H10" s="75">
        <v>0</v>
      </c>
      <c r="I10" s="75">
        <v>0</v>
      </c>
      <c r="J10" s="76">
        <f>10000000+11000000</f>
        <v>21000000</v>
      </c>
      <c r="K10" s="76">
        <v>0</v>
      </c>
      <c r="L10" s="76">
        <v>0</v>
      </c>
      <c r="M10" s="76">
        <f aca="true" t="shared" si="0" ref="M10:M21">+J10*1.05</f>
        <v>22050000</v>
      </c>
      <c r="N10" s="76">
        <v>0</v>
      </c>
      <c r="O10" s="76">
        <v>0</v>
      </c>
      <c r="P10" s="76">
        <v>0</v>
      </c>
      <c r="Q10" s="76">
        <v>0</v>
      </c>
      <c r="R10" s="76">
        <v>0</v>
      </c>
      <c r="S10" s="76">
        <f aca="true" t="shared" si="1" ref="S10:S21">+P10*1.05</f>
        <v>0</v>
      </c>
      <c r="T10" s="76">
        <v>0</v>
      </c>
      <c r="U10" s="76">
        <v>0</v>
      </c>
      <c r="V10" s="87">
        <f aca="true" t="shared" si="2" ref="V10:V21">+SUM(J10:U10)</f>
        <v>43050000</v>
      </c>
      <c r="W10" s="88">
        <f aca="true" t="shared" si="3" ref="W10:W21">+V10/$V$22</f>
        <v>0.07427718131579807</v>
      </c>
      <c r="X10" s="77"/>
      <c r="Y10" s="77"/>
    </row>
    <row r="11" spans="1:25" s="73" customFormat="1" ht="36">
      <c r="A11" s="316"/>
      <c r="B11" s="327"/>
      <c r="C11" s="85" t="s">
        <v>239</v>
      </c>
      <c r="D11" s="78" t="s">
        <v>73</v>
      </c>
      <c r="E11" s="79">
        <v>0</v>
      </c>
      <c r="F11" s="79">
        <v>0</v>
      </c>
      <c r="G11" s="79">
        <v>0</v>
      </c>
      <c r="H11" s="79">
        <v>676</v>
      </c>
      <c r="I11" s="79">
        <v>676</v>
      </c>
      <c r="J11" s="80">
        <v>5000000</v>
      </c>
      <c r="K11" s="80">
        <v>0</v>
      </c>
      <c r="L11" s="80">
        <v>0</v>
      </c>
      <c r="M11" s="80">
        <f t="shared" si="0"/>
        <v>5250000</v>
      </c>
      <c r="N11" s="80">
        <v>0</v>
      </c>
      <c r="O11" s="80">
        <v>0</v>
      </c>
      <c r="P11" s="80">
        <f>+SUM(M11+M10)*1.05</f>
        <v>28665000</v>
      </c>
      <c r="Q11" s="80">
        <v>0</v>
      </c>
      <c r="R11" s="80">
        <v>0</v>
      </c>
      <c r="S11" s="80">
        <f t="shared" si="1"/>
        <v>30098250</v>
      </c>
      <c r="T11" s="80">
        <v>0</v>
      </c>
      <c r="U11" s="80">
        <v>0</v>
      </c>
      <c r="V11" s="89">
        <f t="shared" si="2"/>
        <v>69013250</v>
      </c>
      <c r="W11" s="90">
        <f t="shared" si="3"/>
        <v>0.11907339566649247</v>
      </c>
      <c r="X11" s="77"/>
      <c r="Y11" s="77"/>
    </row>
    <row r="12" spans="1:25" s="73" customFormat="1" ht="24">
      <c r="A12" s="316"/>
      <c r="B12" s="327"/>
      <c r="C12" s="85" t="s">
        <v>74</v>
      </c>
      <c r="D12" s="78" t="s">
        <v>75</v>
      </c>
      <c r="E12" s="79">
        <v>0</v>
      </c>
      <c r="F12" s="79">
        <v>3</v>
      </c>
      <c r="G12" s="79">
        <v>5</v>
      </c>
      <c r="H12" s="79">
        <v>5</v>
      </c>
      <c r="I12" s="79">
        <v>5</v>
      </c>
      <c r="J12" s="80">
        <v>4000000</v>
      </c>
      <c r="K12" s="80">
        <v>0</v>
      </c>
      <c r="L12" s="80">
        <v>0</v>
      </c>
      <c r="M12" s="80">
        <f t="shared" si="0"/>
        <v>4200000</v>
      </c>
      <c r="N12" s="80">
        <v>0</v>
      </c>
      <c r="O12" s="80">
        <v>0</v>
      </c>
      <c r="P12" s="80">
        <f aca="true" t="shared" si="4" ref="P12:P21">+M12*1.05</f>
        <v>4410000</v>
      </c>
      <c r="Q12" s="80">
        <v>0</v>
      </c>
      <c r="R12" s="80">
        <v>0</v>
      </c>
      <c r="S12" s="80">
        <f t="shared" si="1"/>
        <v>4630500</v>
      </c>
      <c r="T12" s="80">
        <v>0</v>
      </c>
      <c r="U12" s="80">
        <v>0</v>
      </c>
      <c r="V12" s="89">
        <f t="shared" si="2"/>
        <v>17240500</v>
      </c>
      <c r="W12" s="90">
        <f t="shared" si="3"/>
        <v>0.02974624261266008</v>
      </c>
      <c r="X12" s="77"/>
      <c r="Y12" s="77"/>
    </row>
    <row r="13" spans="1:25" s="73" customFormat="1" ht="24">
      <c r="A13" s="316"/>
      <c r="B13" s="327"/>
      <c r="C13" s="85" t="s">
        <v>82</v>
      </c>
      <c r="D13" s="78" t="s">
        <v>81</v>
      </c>
      <c r="E13" s="79">
        <v>0</v>
      </c>
      <c r="F13" s="79">
        <v>10</v>
      </c>
      <c r="G13" s="79">
        <v>15</v>
      </c>
      <c r="H13" s="79">
        <v>15</v>
      </c>
      <c r="I13" s="79">
        <v>10</v>
      </c>
      <c r="J13" s="80">
        <v>4000000</v>
      </c>
      <c r="K13" s="80">
        <v>0</v>
      </c>
      <c r="L13" s="80">
        <v>0</v>
      </c>
      <c r="M13" s="80">
        <f t="shared" si="0"/>
        <v>4200000</v>
      </c>
      <c r="N13" s="80">
        <v>0</v>
      </c>
      <c r="O13" s="80">
        <v>0</v>
      </c>
      <c r="P13" s="80">
        <f t="shared" si="4"/>
        <v>4410000</v>
      </c>
      <c r="Q13" s="80">
        <v>0</v>
      </c>
      <c r="R13" s="80">
        <v>0</v>
      </c>
      <c r="S13" s="80">
        <f t="shared" si="1"/>
        <v>4630500</v>
      </c>
      <c r="T13" s="80">
        <v>0</v>
      </c>
      <c r="U13" s="80">
        <v>0</v>
      </c>
      <c r="V13" s="89">
        <f t="shared" si="2"/>
        <v>17240500</v>
      </c>
      <c r="W13" s="90">
        <f t="shared" si="3"/>
        <v>0.02974624261266008</v>
      </c>
      <c r="X13" s="77"/>
      <c r="Y13" s="77"/>
    </row>
    <row r="14" spans="1:25" s="73" customFormat="1" ht="57" customHeight="1">
      <c r="A14" s="316"/>
      <c r="B14" s="328"/>
      <c r="C14" s="85" t="s">
        <v>251</v>
      </c>
      <c r="D14" s="78" t="s">
        <v>80</v>
      </c>
      <c r="E14" s="79">
        <v>0</v>
      </c>
      <c r="F14" s="79">
        <v>80</v>
      </c>
      <c r="G14" s="79">
        <v>120</v>
      </c>
      <c r="H14" s="79">
        <v>100</v>
      </c>
      <c r="I14" s="79">
        <v>100</v>
      </c>
      <c r="J14" s="80">
        <v>500000</v>
      </c>
      <c r="K14" s="80">
        <v>0</v>
      </c>
      <c r="L14" s="80">
        <v>0</v>
      </c>
      <c r="M14" s="80">
        <f t="shared" si="0"/>
        <v>525000</v>
      </c>
      <c r="N14" s="80">
        <v>0</v>
      </c>
      <c r="O14" s="80">
        <v>0</v>
      </c>
      <c r="P14" s="80">
        <f t="shared" si="4"/>
        <v>551250</v>
      </c>
      <c r="Q14" s="80">
        <v>0</v>
      </c>
      <c r="R14" s="80">
        <v>0</v>
      </c>
      <c r="S14" s="80">
        <f t="shared" si="1"/>
        <v>578812.5</v>
      </c>
      <c r="T14" s="80">
        <v>0</v>
      </c>
      <c r="U14" s="80">
        <v>0</v>
      </c>
      <c r="V14" s="89">
        <f t="shared" si="2"/>
        <v>2155062.5</v>
      </c>
      <c r="W14" s="90">
        <f t="shared" si="3"/>
        <v>0.00371828032658251</v>
      </c>
      <c r="X14" s="77"/>
      <c r="Y14" s="77"/>
    </row>
    <row r="15" spans="1:25" s="73" customFormat="1" ht="25.5">
      <c r="A15" s="316"/>
      <c r="B15" s="81" t="s">
        <v>235</v>
      </c>
      <c r="C15" s="85" t="s">
        <v>252</v>
      </c>
      <c r="D15" s="164" t="s">
        <v>76</v>
      </c>
      <c r="E15" s="82">
        <v>0</v>
      </c>
      <c r="F15" s="86">
        <v>220</v>
      </c>
      <c r="G15" s="86">
        <v>300</v>
      </c>
      <c r="H15" s="86">
        <v>400</v>
      </c>
      <c r="I15" s="86">
        <v>420</v>
      </c>
      <c r="J15" s="80">
        <f>500000+28000000</f>
        <v>28500000</v>
      </c>
      <c r="K15" s="80">
        <v>0</v>
      </c>
      <c r="L15" s="80">
        <v>0</v>
      </c>
      <c r="M15" s="80">
        <f t="shared" si="0"/>
        <v>29925000</v>
      </c>
      <c r="N15" s="80">
        <v>0</v>
      </c>
      <c r="O15" s="80">
        <v>0</v>
      </c>
      <c r="P15" s="80">
        <f t="shared" si="4"/>
        <v>31421250</v>
      </c>
      <c r="Q15" s="80">
        <v>0</v>
      </c>
      <c r="R15" s="80">
        <v>0</v>
      </c>
      <c r="S15" s="80">
        <f t="shared" si="1"/>
        <v>32992312.5</v>
      </c>
      <c r="T15" s="80">
        <v>0</v>
      </c>
      <c r="U15" s="80">
        <v>0</v>
      </c>
      <c r="V15" s="89">
        <f t="shared" si="2"/>
        <v>122838562.5</v>
      </c>
      <c r="W15" s="90">
        <f t="shared" si="3"/>
        <v>0.21194197861520309</v>
      </c>
      <c r="X15" s="77"/>
      <c r="Y15" s="77"/>
    </row>
    <row r="16" spans="1:25" s="73" customFormat="1" ht="132">
      <c r="A16" s="316"/>
      <c r="B16" s="81" t="s">
        <v>237</v>
      </c>
      <c r="C16" s="85" t="s">
        <v>253</v>
      </c>
      <c r="D16" s="78" t="s">
        <v>262</v>
      </c>
      <c r="E16" s="82">
        <v>6</v>
      </c>
      <c r="F16" s="83">
        <v>6</v>
      </c>
      <c r="G16" s="83">
        <v>7</v>
      </c>
      <c r="H16" s="83">
        <v>7</v>
      </c>
      <c r="I16" s="83">
        <v>7</v>
      </c>
      <c r="J16" s="80">
        <v>8000000</v>
      </c>
      <c r="K16" s="80">
        <v>0</v>
      </c>
      <c r="L16" s="80">
        <f>22970765+13500000</f>
        <v>36470765</v>
      </c>
      <c r="M16" s="80">
        <f t="shared" si="0"/>
        <v>8400000</v>
      </c>
      <c r="N16" s="80">
        <v>0</v>
      </c>
      <c r="O16" s="80">
        <f>+L16*1.05</f>
        <v>38294303.25</v>
      </c>
      <c r="P16" s="80">
        <f t="shared" si="4"/>
        <v>8820000</v>
      </c>
      <c r="Q16" s="80">
        <v>0</v>
      </c>
      <c r="R16" s="80">
        <f>+O16*1.05</f>
        <v>40209018.4125</v>
      </c>
      <c r="S16" s="80">
        <f t="shared" si="1"/>
        <v>9261000</v>
      </c>
      <c r="T16" s="80">
        <v>0</v>
      </c>
      <c r="U16" s="80">
        <f>+R16*1.05</f>
        <v>42219469.333125</v>
      </c>
      <c r="V16" s="89">
        <f t="shared" si="2"/>
        <v>191674555.995625</v>
      </c>
      <c r="W16" s="90">
        <f t="shared" si="3"/>
        <v>0.3307095412151481</v>
      </c>
      <c r="X16" s="77"/>
      <c r="Y16" s="77"/>
    </row>
    <row r="17" spans="1:25" s="73" customFormat="1" ht="36">
      <c r="A17" s="316"/>
      <c r="B17" s="81" t="s">
        <v>257</v>
      </c>
      <c r="C17" s="85" t="s">
        <v>254</v>
      </c>
      <c r="D17" s="78" t="s">
        <v>77</v>
      </c>
      <c r="E17" s="1">
        <v>1068</v>
      </c>
      <c r="F17" s="84">
        <v>1068</v>
      </c>
      <c r="G17" s="84">
        <v>1068</v>
      </c>
      <c r="H17" s="84">
        <v>1068</v>
      </c>
      <c r="I17" s="84">
        <v>1068</v>
      </c>
      <c r="J17" s="80">
        <v>0</v>
      </c>
      <c r="K17" s="80">
        <v>0</v>
      </c>
      <c r="L17" s="80">
        <f>2500000+10000000</f>
        <v>12500000</v>
      </c>
      <c r="M17" s="80">
        <f t="shared" si="0"/>
        <v>0</v>
      </c>
      <c r="N17" s="80">
        <v>0</v>
      </c>
      <c r="O17" s="80">
        <f>+L17*1.05</f>
        <v>13125000</v>
      </c>
      <c r="P17" s="80">
        <f t="shared" si="4"/>
        <v>0</v>
      </c>
      <c r="Q17" s="80">
        <v>0</v>
      </c>
      <c r="R17" s="80">
        <f>+O17*1.05</f>
        <v>13781250</v>
      </c>
      <c r="S17" s="80">
        <f t="shared" si="1"/>
        <v>0</v>
      </c>
      <c r="T17" s="80">
        <v>0</v>
      </c>
      <c r="U17" s="80">
        <f>+R17*1.05</f>
        <v>14470312.5</v>
      </c>
      <c r="V17" s="89">
        <f t="shared" si="2"/>
        <v>53876562.5</v>
      </c>
      <c r="W17" s="90">
        <f t="shared" si="3"/>
        <v>0.09295700816456276</v>
      </c>
      <c r="X17" s="77"/>
      <c r="Y17" s="77"/>
    </row>
    <row r="18" spans="1:25" s="73" customFormat="1" ht="60">
      <c r="A18" s="316"/>
      <c r="B18" s="81" t="s">
        <v>256</v>
      </c>
      <c r="C18" s="172" t="s">
        <v>255</v>
      </c>
      <c r="D18" s="78" t="s">
        <v>261</v>
      </c>
      <c r="E18" s="219">
        <v>676</v>
      </c>
      <c r="F18" s="222">
        <v>676</v>
      </c>
      <c r="G18" s="222">
        <v>676</v>
      </c>
      <c r="H18" s="222">
        <v>676</v>
      </c>
      <c r="I18" s="222">
        <v>676</v>
      </c>
      <c r="J18" s="80">
        <f>6000000+3000000</f>
        <v>9000000</v>
      </c>
      <c r="K18" s="80">
        <v>0</v>
      </c>
      <c r="L18" s="80">
        <v>0</v>
      </c>
      <c r="M18" s="80">
        <f t="shared" si="0"/>
        <v>9450000</v>
      </c>
      <c r="N18" s="80">
        <v>0</v>
      </c>
      <c r="O18" s="80">
        <f>+L18*1.05</f>
        <v>0</v>
      </c>
      <c r="P18" s="80">
        <f t="shared" si="4"/>
        <v>9922500</v>
      </c>
      <c r="Q18" s="80">
        <v>0</v>
      </c>
      <c r="R18" s="80">
        <f>+O18*1.05</f>
        <v>0</v>
      </c>
      <c r="S18" s="80">
        <f t="shared" si="1"/>
        <v>10418625</v>
      </c>
      <c r="T18" s="80">
        <v>0</v>
      </c>
      <c r="U18" s="80">
        <f>+R18*1.05</f>
        <v>0</v>
      </c>
      <c r="V18" s="89">
        <f t="shared" si="2"/>
        <v>38791125</v>
      </c>
      <c r="W18" s="90">
        <f t="shared" si="3"/>
        <v>0.06692904587848518</v>
      </c>
      <c r="X18" s="77"/>
      <c r="Y18" s="77"/>
    </row>
    <row r="19" spans="1:25" s="73" customFormat="1" ht="48">
      <c r="A19" s="316"/>
      <c r="B19" s="81" t="s">
        <v>236</v>
      </c>
      <c r="C19" s="85" t="s">
        <v>241</v>
      </c>
      <c r="D19" s="78" t="s">
        <v>78</v>
      </c>
      <c r="E19" s="82">
        <v>0</v>
      </c>
      <c r="F19" s="84">
        <v>0</v>
      </c>
      <c r="G19" s="84">
        <v>1</v>
      </c>
      <c r="H19" s="84">
        <v>0</v>
      </c>
      <c r="I19" s="84">
        <v>0</v>
      </c>
      <c r="J19" s="80">
        <v>0</v>
      </c>
      <c r="K19" s="80">
        <v>0</v>
      </c>
      <c r="L19" s="80">
        <v>0</v>
      </c>
      <c r="M19" s="80">
        <f t="shared" si="0"/>
        <v>0</v>
      </c>
      <c r="N19" s="80">
        <v>0</v>
      </c>
      <c r="O19" s="80">
        <v>0</v>
      </c>
      <c r="P19" s="80">
        <f t="shared" si="4"/>
        <v>0</v>
      </c>
      <c r="Q19" s="80">
        <v>0</v>
      </c>
      <c r="R19" s="80">
        <v>0</v>
      </c>
      <c r="S19" s="80">
        <f t="shared" si="1"/>
        <v>0</v>
      </c>
      <c r="T19" s="80">
        <v>0</v>
      </c>
      <c r="U19" s="80">
        <v>0</v>
      </c>
      <c r="V19" s="89">
        <f t="shared" si="2"/>
        <v>0</v>
      </c>
      <c r="W19" s="90">
        <f t="shared" si="3"/>
        <v>0</v>
      </c>
      <c r="X19" s="77"/>
      <c r="Y19" s="77"/>
    </row>
    <row r="20" spans="1:25" s="73" customFormat="1" ht="36">
      <c r="A20" s="316"/>
      <c r="B20" s="81" t="s">
        <v>236</v>
      </c>
      <c r="C20" s="85" t="s">
        <v>263</v>
      </c>
      <c r="D20" s="78" t="s">
        <v>79</v>
      </c>
      <c r="E20" s="82">
        <v>1</v>
      </c>
      <c r="F20" s="84">
        <v>0</v>
      </c>
      <c r="G20" s="84">
        <v>1</v>
      </c>
      <c r="H20" s="84">
        <v>0</v>
      </c>
      <c r="I20" s="84">
        <v>0</v>
      </c>
      <c r="J20" s="80">
        <v>0</v>
      </c>
      <c r="K20" s="80">
        <v>0</v>
      </c>
      <c r="L20" s="80">
        <v>0</v>
      </c>
      <c r="M20" s="80">
        <f t="shared" si="0"/>
        <v>0</v>
      </c>
      <c r="N20" s="80">
        <v>0</v>
      </c>
      <c r="O20" s="80">
        <v>0</v>
      </c>
      <c r="P20" s="80">
        <f t="shared" si="4"/>
        <v>0</v>
      </c>
      <c r="Q20" s="80">
        <v>0</v>
      </c>
      <c r="R20" s="80">
        <v>0</v>
      </c>
      <c r="S20" s="80">
        <f t="shared" si="1"/>
        <v>0</v>
      </c>
      <c r="T20" s="80">
        <v>0</v>
      </c>
      <c r="U20" s="80">
        <v>0</v>
      </c>
      <c r="V20" s="89">
        <f t="shared" si="2"/>
        <v>0</v>
      </c>
      <c r="W20" s="90">
        <f t="shared" si="3"/>
        <v>0</v>
      </c>
      <c r="X20" s="77"/>
      <c r="Y20" s="77"/>
    </row>
    <row r="21" spans="1:25" s="73" customFormat="1" ht="72.75" thickBot="1">
      <c r="A21" s="316"/>
      <c r="B21" s="81" t="s">
        <v>192</v>
      </c>
      <c r="C21" s="221" t="s">
        <v>259</v>
      </c>
      <c r="D21" s="78" t="s">
        <v>260</v>
      </c>
      <c r="E21" s="86">
        <v>0</v>
      </c>
      <c r="F21" s="84">
        <v>7</v>
      </c>
      <c r="G21" s="84">
        <v>7</v>
      </c>
      <c r="H21" s="84">
        <v>7</v>
      </c>
      <c r="I21" s="84">
        <v>7</v>
      </c>
      <c r="J21" s="80">
        <v>0</v>
      </c>
      <c r="K21" s="80">
        <v>0</v>
      </c>
      <c r="L21" s="220">
        <f>5000000+500000</f>
        <v>5500000</v>
      </c>
      <c r="M21" s="80">
        <f t="shared" si="0"/>
        <v>0</v>
      </c>
      <c r="N21" s="80">
        <v>0</v>
      </c>
      <c r="O21" s="80">
        <f>+L21*1.05</f>
        <v>5775000</v>
      </c>
      <c r="P21" s="80">
        <f t="shared" si="4"/>
        <v>0</v>
      </c>
      <c r="Q21" s="80">
        <v>0</v>
      </c>
      <c r="R21" s="80">
        <f>+O21*1.05</f>
        <v>6063750</v>
      </c>
      <c r="S21" s="80">
        <f t="shared" si="1"/>
        <v>0</v>
      </c>
      <c r="T21" s="80">
        <v>0</v>
      </c>
      <c r="U21" s="80">
        <f>+R21*1.05</f>
        <v>6366937.5</v>
      </c>
      <c r="V21" s="89">
        <f t="shared" si="2"/>
        <v>23705687.5</v>
      </c>
      <c r="W21" s="90">
        <f t="shared" si="3"/>
        <v>0.040901083592407614</v>
      </c>
      <c r="X21" s="77"/>
      <c r="Y21" s="77"/>
    </row>
    <row r="22" spans="1:23" s="108" customFormat="1" ht="30" customHeight="1" thickBot="1">
      <c r="A22" s="308" t="s">
        <v>39</v>
      </c>
      <c r="B22" s="309"/>
      <c r="C22" s="309"/>
      <c r="D22" s="309"/>
      <c r="E22" s="309"/>
      <c r="F22" s="309"/>
      <c r="G22" s="309"/>
      <c r="H22" s="309"/>
      <c r="I22" s="309"/>
      <c r="J22" s="105">
        <f aca="true" t="shared" si="5" ref="J22:W22">+SUM(J10:J21)</f>
        <v>80000000</v>
      </c>
      <c r="K22" s="106">
        <f t="shared" si="5"/>
        <v>0</v>
      </c>
      <c r="L22" s="106">
        <f t="shared" si="5"/>
        <v>54470765</v>
      </c>
      <c r="M22" s="106">
        <f t="shared" si="5"/>
        <v>84000000</v>
      </c>
      <c r="N22" s="106">
        <f t="shared" si="5"/>
        <v>0</v>
      </c>
      <c r="O22" s="106">
        <f t="shared" si="5"/>
        <v>57194303.25</v>
      </c>
      <c r="P22" s="106">
        <f t="shared" si="5"/>
        <v>88200000</v>
      </c>
      <c r="Q22" s="106">
        <f t="shared" si="5"/>
        <v>0</v>
      </c>
      <c r="R22" s="106">
        <f t="shared" si="5"/>
        <v>60054018.4125</v>
      </c>
      <c r="S22" s="106">
        <f t="shared" si="5"/>
        <v>92610000</v>
      </c>
      <c r="T22" s="106">
        <f t="shared" si="5"/>
        <v>0</v>
      </c>
      <c r="U22" s="106">
        <f t="shared" si="5"/>
        <v>63056719.333125</v>
      </c>
      <c r="V22" s="106">
        <f t="shared" si="5"/>
        <v>579585805.995625</v>
      </c>
      <c r="W22" s="107">
        <f t="shared" si="5"/>
        <v>0.9999999999999999</v>
      </c>
    </row>
    <row r="23" spans="5:12" ht="12.75">
      <c r="E23" s="22"/>
      <c r="G23" s="22"/>
      <c r="L23" s="22"/>
    </row>
    <row r="24" ht="12.75">
      <c r="J24" s="22"/>
    </row>
    <row r="25" spans="3:10" ht="12.75">
      <c r="C25" s="22">
        <f>+J22+L22</f>
        <v>134470765</v>
      </c>
      <c r="J25" s="22"/>
    </row>
    <row r="26" spans="3:13" ht="12.75">
      <c r="C26" s="22">
        <f>+C25*1.05</f>
        <v>141194303.25</v>
      </c>
      <c r="K26" s="22"/>
      <c r="M26" s="22"/>
    </row>
    <row r="27" spans="3:13" ht="12.75">
      <c r="C27" s="22">
        <f>+C26*1.05</f>
        <v>148254018.4125</v>
      </c>
      <c r="M27" s="22"/>
    </row>
    <row r="28" spans="3:13" ht="12.75">
      <c r="C28" s="22">
        <f>+C27*1.05</f>
        <v>155666719.333125</v>
      </c>
      <c r="M28" s="22"/>
    </row>
    <row r="29" ht="12.75">
      <c r="I29" s="22"/>
    </row>
  </sheetData>
  <sheetProtection/>
  <mergeCells count="20">
    <mergeCell ref="A7:W7"/>
    <mergeCell ref="B10:B14"/>
    <mergeCell ref="P8:R8"/>
    <mergeCell ref="S8:U8"/>
    <mergeCell ref="V8:V9"/>
    <mergeCell ref="W8:W9"/>
    <mergeCell ref="J8:L8"/>
    <mergeCell ref="M8:O8"/>
    <mergeCell ref="A1:W1"/>
    <mergeCell ref="A2:W2"/>
    <mergeCell ref="A3:W3"/>
    <mergeCell ref="A4:W4"/>
    <mergeCell ref="A5:W5"/>
    <mergeCell ref="A6:W6"/>
    <mergeCell ref="A22:I22"/>
    <mergeCell ref="A8:A9"/>
    <mergeCell ref="B8:B9"/>
    <mergeCell ref="C8:C9"/>
    <mergeCell ref="D8:I8"/>
    <mergeCell ref="A10:A21"/>
  </mergeCells>
  <hyperlinks>
    <hyperlink ref="D10" r:id="rId1" display="Expresiones artísitcas"/>
    <hyperlink ref="D15" r:id="rId2" display="Espacios de participacion "/>
  </hyperlinks>
  <printOptions/>
  <pageMargins left="0.3937007874015748" right="0" top="0" bottom="0" header="0" footer="0"/>
  <pageSetup horizontalDpi="1200" verticalDpi="1200" orientation="landscape" paperSize="5" scale="60" r:id="rId4"/>
  <drawing r:id="rId3"/>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zoomScalePageLayoutView="0" workbookViewId="0" topLeftCell="A8">
      <selection activeCell="A25" sqref="A25"/>
    </sheetView>
  </sheetViews>
  <sheetFormatPr defaultColWidth="11.421875" defaultRowHeight="12.75"/>
  <cols>
    <col min="1" max="3" width="30.7109375" style="20" customWidth="1"/>
    <col min="4" max="4" width="11.421875" style="20" customWidth="1"/>
    <col min="5" max="5" width="5.140625" style="20" bestFit="1" customWidth="1"/>
    <col min="6" max="9" width="4.421875" style="20" bestFit="1" customWidth="1"/>
    <col min="10" max="10" width="10.7109375" style="20" bestFit="1" customWidth="1"/>
    <col min="11" max="11" width="5.140625" style="20" bestFit="1" customWidth="1"/>
    <col min="12" max="12" width="3.8515625" style="20" bestFit="1" customWidth="1"/>
    <col min="13" max="13" width="10.7109375" style="20" bestFit="1" customWidth="1"/>
    <col min="14" max="14" width="5.140625" style="20" bestFit="1" customWidth="1"/>
    <col min="15" max="15" width="3.8515625" style="20" bestFit="1" customWidth="1"/>
    <col min="16" max="16" width="10.7109375" style="20" bestFit="1" customWidth="1"/>
    <col min="17" max="17" width="5.140625" style="20" bestFit="1" customWidth="1"/>
    <col min="18" max="18" width="3.8515625" style="20" bestFit="1" customWidth="1"/>
    <col min="19" max="19" width="10.7109375" style="20" bestFit="1" customWidth="1"/>
    <col min="20" max="20" width="5.140625" style="20" bestFit="1" customWidth="1"/>
    <col min="21" max="21" width="3.8515625" style="20" bestFit="1" customWidth="1"/>
    <col min="22" max="22" width="12.28125" style="20" bestFit="1" customWidth="1"/>
    <col min="23" max="23" width="11.8515625" style="20" bestFit="1" customWidth="1"/>
    <col min="24" max="16384" width="11.421875" style="20" customWidth="1"/>
  </cols>
  <sheetData>
    <row r="1" spans="1:23" ht="45" customHeight="1" thickBot="1">
      <c r="A1" s="223" t="s">
        <v>122</v>
      </c>
      <c r="B1" s="224"/>
      <c r="C1" s="224"/>
      <c r="D1" s="224"/>
      <c r="E1" s="224"/>
      <c r="F1" s="224"/>
      <c r="G1" s="224"/>
      <c r="H1" s="224"/>
      <c r="I1" s="224"/>
      <c r="J1" s="224"/>
      <c r="K1" s="224"/>
      <c r="L1" s="224"/>
      <c r="M1" s="224"/>
      <c r="N1" s="224"/>
      <c r="O1" s="224"/>
      <c r="P1" s="224"/>
      <c r="Q1" s="224"/>
      <c r="R1" s="224"/>
      <c r="S1" s="224"/>
      <c r="T1" s="224"/>
      <c r="U1" s="224"/>
      <c r="V1" s="224"/>
      <c r="W1" s="225"/>
    </row>
    <row r="2" spans="1:23" ht="15" customHeight="1">
      <c r="A2" s="335" t="s">
        <v>189</v>
      </c>
      <c r="B2" s="336"/>
      <c r="C2" s="336"/>
      <c r="D2" s="336"/>
      <c r="E2" s="336"/>
      <c r="F2" s="336"/>
      <c r="G2" s="336"/>
      <c r="H2" s="336"/>
      <c r="I2" s="336"/>
      <c r="J2" s="336"/>
      <c r="K2" s="336"/>
      <c r="L2" s="336"/>
      <c r="M2" s="336"/>
      <c r="N2" s="336"/>
      <c r="O2" s="336"/>
      <c r="P2" s="336"/>
      <c r="Q2" s="336"/>
      <c r="R2" s="336"/>
      <c r="S2" s="336"/>
      <c r="T2" s="336"/>
      <c r="U2" s="336"/>
      <c r="V2" s="336"/>
      <c r="W2" s="337"/>
    </row>
    <row r="3" spans="1:23" ht="15">
      <c r="A3" s="338" t="s">
        <v>148</v>
      </c>
      <c r="B3" s="339"/>
      <c r="C3" s="339"/>
      <c r="D3" s="339"/>
      <c r="E3" s="339"/>
      <c r="F3" s="339"/>
      <c r="G3" s="339"/>
      <c r="H3" s="339"/>
      <c r="I3" s="339"/>
      <c r="J3" s="339"/>
      <c r="K3" s="339"/>
      <c r="L3" s="339"/>
      <c r="M3" s="339"/>
      <c r="N3" s="339"/>
      <c r="O3" s="339"/>
      <c r="P3" s="339"/>
      <c r="Q3" s="339"/>
      <c r="R3" s="339"/>
      <c r="S3" s="339"/>
      <c r="T3" s="339"/>
      <c r="U3" s="339"/>
      <c r="V3" s="339"/>
      <c r="W3" s="340"/>
    </row>
    <row r="4" spans="1:23" ht="15" customHeight="1">
      <c r="A4" s="338" t="s">
        <v>188</v>
      </c>
      <c r="B4" s="339"/>
      <c r="C4" s="339"/>
      <c r="D4" s="339"/>
      <c r="E4" s="339"/>
      <c r="F4" s="339"/>
      <c r="G4" s="339"/>
      <c r="H4" s="339"/>
      <c r="I4" s="339"/>
      <c r="J4" s="339"/>
      <c r="K4" s="339"/>
      <c r="L4" s="339"/>
      <c r="M4" s="339"/>
      <c r="N4" s="339"/>
      <c r="O4" s="339"/>
      <c r="P4" s="339"/>
      <c r="Q4" s="339"/>
      <c r="R4" s="339"/>
      <c r="S4" s="339"/>
      <c r="T4" s="339"/>
      <c r="U4" s="339"/>
      <c r="V4" s="339"/>
      <c r="W4" s="340"/>
    </row>
    <row r="5" spans="1:23" ht="15" customHeight="1">
      <c r="A5" s="338" t="s">
        <v>147</v>
      </c>
      <c r="B5" s="339"/>
      <c r="C5" s="339"/>
      <c r="D5" s="339"/>
      <c r="E5" s="339"/>
      <c r="F5" s="339"/>
      <c r="G5" s="339"/>
      <c r="H5" s="339"/>
      <c r="I5" s="339"/>
      <c r="J5" s="339"/>
      <c r="K5" s="339"/>
      <c r="L5" s="339"/>
      <c r="M5" s="339"/>
      <c r="N5" s="339"/>
      <c r="O5" s="339"/>
      <c r="P5" s="339"/>
      <c r="Q5" s="339"/>
      <c r="R5" s="339"/>
      <c r="S5" s="339"/>
      <c r="T5" s="339"/>
      <c r="U5" s="339"/>
      <c r="V5" s="339"/>
      <c r="W5" s="340"/>
    </row>
    <row r="6" spans="1:23" ht="80.25" customHeight="1">
      <c r="A6" s="338" t="s">
        <v>166</v>
      </c>
      <c r="B6" s="339"/>
      <c r="C6" s="339"/>
      <c r="D6" s="339"/>
      <c r="E6" s="339"/>
      <c r="F6" s="339"/>
      <c r="G6" s="339"/>
      <c r="H6" s="339"/>
      <c r="I6" s="339"/>
      <c r="J6" s="339"/>
      <c r="K6" s="339"/>
      <c r="L6" s="339"/>
      <c r="M6" s="339"/>
      <c r="N6" s="339"/>
      <c r="O6" s="339"/>
      <c r="P6" s="339"/>
      <c r="Q6" s="339"/>
      <c r="R6" s="339"/>
      <c r="S6" s="339"/>
      <c r="T6" s="339"/>
      <c r="U6" s="339"/>
      <c r="V6" s="339"/>
      <c r="W6" s="340"/>
    </row>
    <row r="7" spans="1:23" ht="96.75" customHeight="1" thickBot="1">
      <c r="A7" s="234" t="s">
        <v>152</v>
      </c>
      <c r="B7" s="235"/>
      <c r="C7" s="235"/>
      <c r="D7" s="235"/>
      <c r="E7" s="235"/>
      <c r="F7" s="235"/>
      <c r="G7" s="235"/>
      <c r="H7" s="235"/>
      <c r="I7" s="235"/>
      <c r="J7" s="235"/>
      <c r="K7" s="235"/>
      <c r="L7" s="235"/>
      <c r="M7" s="235"/>
      <c r="N7" s="235"/>
      <c r="O7" s="235"/>
      <c r="P7" s="235"/>
      <c r="Q7" s="235"/>
      <c r="R7" s="235"/>
      <c r="S7" s="235"/>
      <c r="T7" s="235"/>
      <c r="U7" s="235"/>
      <c r="V7" s="235"/>
      <c r="W7" s="236"/>
    </row>
    <row r="8" spans="1:23" ht="26.25" customHeight="1" thickBot="1">
      <c r="A8" s="310" t="s">
        <v>0</v>
      </c>
      <c r="B8" s="311" t="s">
        <v>1</v>
      </c>
      <c r="C8" s="312" t="s">
        <v>2</v>
      </c>
      <c r="D8" s="313" t="s">
        <v>3</v>
      </c>
      <c r="E8" s="314"/>
      <c r="F8" s="314"/>
      <c r="G8" s="314"/>
      <c r="H8" s="314"/>
      <c r="I8" s="347"/>
      <c r="J8" s="343" t="s">
        <v>5</v>
      </c>
      <c r="K8" s="344"/>
      <c r="L8" s="345"/>
      <c r="M8" s="329" t="s">
        <v>6</v>
      </c>
      <c r="N8" s="330"/>
      <c r="O8" s="331"/>
      <c r="P8" s="329" t="s">
        <v>7</v>
      </c>
      <c r="Q8" s="330"/>
      <c r="R8" s="331"/>
      <c r="S8" s="329" t="s">
        <v>8</v>
      </c>
      <c r="T8" s="330"/>
      <c r="U8" s="331"/>
      <c r="V8" s="332" t="s">
        <v>70</v>
      </c>
      <c r="W8" s="333" t="s">
        <v>38</v>
      </c>
    </row>
    <row r="9" spans="1:23" ht="24.75" thickBot="1">
      <c r="A9" s="310"/>
      <c r="B9" s="311"/>
      <c r="C9" s="312"/>
      <c r="D9" s="174" t="s">
        <v>4</v>
      </c>
      <c r="E9" s="175" t="s">
        <v>71</v>
      </c>
      <c r="F9" s="175">
        <v>2012</v>
      </c>
      <c r="G9" s="175">
        <v>2013</v>
      </c>
      <c r="H9" s="175">
        <v>2014</v>
      </c>
      <c r="I9" s="176">
        <v>2015</v>
      </c>
      <c r="J9" s="177" t="s">
        <v>41</v>
      </c>
      <c r="K9" s="178" t="s">
        <v>190</v>
      </c>
      <c r="L9" s="178" t="s">
        <v>42</v>
      </c>
      <c r="M9" s="179" t="s">
        <v>41</v>
      </c>
      <c r="N9" s="178" t="s">
        <v>190</v>
      </c>
      <c r="O9" s="179" t="s">
        <v>42</v>
      </c>
      <c r="P9" s="179" t="s">
        <v>41</v>
      </c>
      <c r="Q9" s="178" t="s">
        <v>190</v>
      </c>
      <c r="R9" s="179" t="s">
        <v>42</v>
      </c>
      <c r="S9" s="179" t="s">
        <v>41</v>
      </c>
      <c r="T9" s="178" t="s">
        <v>190</v>
      </c>
      <c r="U9" s="179" t="s">
        <v>42</v>
      </c>
      <c r="V9" s="332"/>
      <c r="W9" s="333"/>
    </row>
    <row r="10" spans="1:23" ht="24" customHeight="1">
      <c r="A10" s="341" t="s">
        <v>194</v>
      </c>
      <c r="B10" s="135" t="s">
        <v>258</v>
      </c>
      <c r="C10" s="133" t="s">
        <v>138</v>
      </c>
      <c r="D10" s="165" t="s">
        <v>139</v>
      </c>
      <c r="E10" s="136">
        <v>0</v>
      </c>
      <c r="F10" s="136">
        <v>150</v>
      </c>
      <c r="G10" s="136">
        <v>150</v>
      </c>
      <c r="H10" s="136">
        <v>150</v>
      </c>
      <c r="I10" s="136">
        <v>150</v>
      </c>
      <c r="J10" s="137">
        <v>0</v>
      </c>
      <c r="K10" s="137">
        <v>0</v>
      </c>
      <c r="L10" s="137">
        <v>0</v>
      </c>
      <c r="M10" s="137">
        <v>0</v>
      </c>
      <c r="N10" s="137">
        <v>0</v>
      </c>
      <c r="O10" s="137">
        <v>0</v>
      </c>
      <c r="P10" s="137">
        <v>0</v>
      </c>
      <c r="Q10" s="137">
        <v>0</v>
      </c>
      <c r="R10" s="137">
        <v>0</v>
      </c>
      <c r="S10" s="137">
        <v>0</v>
      </c>
      <c r="T10" s="137">
        <v>0</v>
      </c>
      <c r="U10" s="137">
        <v>0</v>
      </c>
      <c r="V10" s="138">
        <f>SUM(J10:U10)</f>
        <v>0</v>
      </c>
      <c r="W10" s="139">
        <f>+V10/$V$15</f>
        <v>0</v>
      </c>
    </row>
    <row r="11" spans="1:23" ht="48">
      <c r="A11" s="342"/>
      <c r="B11" s="192" t="s">
        <v>167</v>
      </c>
      <c r="C11" s="140" t="s">
        <v>140</v>
      </c>
      <c r="D11" s="134" t="s">
        <v>141</v>
      </c>
      <c r="E11" s="141">
        <v>0</v>
      </c>
      <c r="F11" s="141">
        <v>1</v>
      </c>
      <c r="G11" s="142">
        <v>1</v>
      </c>
      <c r="H11" s="142">
        <v>1</v>
      </c>
      <c r="I11" s="142">
        <v>1</v>
      </c>
      <c r="J11" s="143">
        <f>1000000+2466920</f>
        <v>3466920</v>
      </c>
      <c r="K11" s="143">
        <v>0</v>
      </c>
      <c r="L11" s="143">
        <v>0</v>
      </c>
      <c r="M11" s="143">
        <f>+J11*1.05</f>
        <v>3640266</v>
      </c>
      <c r="N11" s="143">
        <v>0</v>
      </c>
      <c r="O11" s="143">
        <v>0</v>
      </c>
      <c r="P11" s="143">
        <f>+M11*1.05</f>
        <v>3822279.3000000003</v>
      </c>
      <c r="Q11" s="143">
        <v>0</v>
      </c>
      <c r="R11" s="143">
        <v>0</v>
      </c>
      <c r="S11" s="143">
        <f>+P11*1.05</f>
        <v>4013393.2650000006</v>
      </c>
      <c r="T11" s="143">
        <v>0</v>
      </c>
      <c r="U11" s="143">
        <v>0</v>
      </c>
      <c r="V11" s="144">
        <f>SUM(J11:U11)</f>
        <v>14942858.565000001</v>
      </c>
      <c r="W11" s="145">
        <f>+V11/$V$15</f>
        <v>0.46430388968945696</v>
      </c>
    </row>
    <row r="12" spans="1:23" ht="24">
      <c r="A12" s="342"/>
      <c r="B12" s="348" t="s">
        <v>248</v>
      </c>
      <c r="C12" s="140" t="s">
        <v>142</v>
      </c>
      <c r="D12" s="134" t="s">
        <v>150</v>
      </c>
      <c r="E12" s="141">
        <v>0</v>
      </c>
      <c r="F12" s="146">
        <v>2000</v>
      </c>
      <c r="G12" s="142">
        <v>3000</v>
      </c>
      <c r="H12" s="142">
        <v>3000</v>
      </c>
      <c r="I12" s="142">
        <v>2000</v>
      </c>
      <c r="J12" s="143">
        <v>0</v>
      </c>
      <c r="K12" s="143">
        <v>0</v>
      </c>
      <c r="L12" s="143">
        <v>0</v>
      </c>
      <c r="M12" s="143">
        <v>0</v>
      </c>
      <c r="N12" s="143">
        <v>0</v>
      </c>
      <c r="O12" s="143">
        <v>0</v>
      </c>
      <c r="P12" s="143">
        <v>0</v>
      </c>
      <c r="Q12" s="143">
        <v>0</v>
      </c>
      <c r="R12" s="143">
        <v>0</v>
      </c>
      <c r="S12" s="143">
        <v>0</v>
      </c>
      <c r="T12" s="143">
        <v>0</v>
      </c>
      <c r="U12" s="143">
        <v>0</v>
      </c>
      <c r="V12" s="144">
        <f>SUM(J12:U12)</f>
        <v>0</v>
      </c>
      <c r="W12" s="145">
        <f>+V12/$V$15</f>
        <v>0</v>
      </c>
    </row>
    <row r="13" spans="1:23" ht="24">
      <c r="A13" s="342"/>
      <c r="B13" s="348"/>
      <c r="C13" s="134" t="s">
        <v>143</v>
      </c>
      <c r="D13" s="134" t="s">
        <v>144</v>
      </c>
      <c r="E13" s="141">
        <v>2</v>
      </c>
      <c r="F13" s="141">
        <v>1</v>
      </c>
      <c r="G13" s="141">
        <v>2</v>
      </c>
      <c r="H13" s="141">
        <v>2</v>
      </c>
      <c r="I13" s="141">
        <v>2</v>
      </c>
      <c r="J13" s="143">
        <v>4000000</v>
      </c>
      <c r="K13" s="143">
        <v>0</v>
      </c>
      <c r="L13" s="143">
        <v>0</v>
      </c>
      <c r="M13" s="143">
        <f>+J13*1.05</f>
        <v>4200000</v>
      </c>
      <c r="N13" s="143">
        <v>0</v>
      </c>
      <c r="O13" s="143">
        <v>0</v>
      </c>
      <c r="P13" s="143">
        <f>+M13*1.05</f>
        <v>4410000</v>
      </c>
      <c r="Q13" s="143">
        <v>0</v>
      </c>
      <c r="R13" s="143">
        <v>0</v>
      </c>
      <c r="S13" s="143">
        <f>+P13*1.05</f>
        <v>4630500</v>
      </c>
      <c r="T13" s="143">
        <v>0</v>
      </c>
      <c r="U13" s="143">
        <v>0</v>
      </c>
      <c r="V13" s="144">
        <f>SUM(J13:U13)</f>
        <v>17240500</v>
      </c>
      <c r="W13" s="145">
        <f>+V13/$V$15</f>
        <v>0.535696110310543</v>
      </c>
    </row>
    <row r="14" spans="1:23" ht="36.75" thickBot="1">
      <c r="A14" s="342"/>
      <c r="B14" s="192" t="s">
        <v>196</v>
      </c>
      <c r="C14" s="134" t="s">
        <v>199</v>
      </c>
      <c r="D14" s="134" t="s">
        <v>197</v>
      </c>
      <c r="E14" s="141">
        <v>0</v>
      </c>
      <c r="F14" s="141">
        <v>12</v>
      </c>
      <c r="G14" s="141">
        <v>12</v>
      </c>
      <c r="H14" s="141">
        <v>12</v>
      </c>
      <c r="I14" s="141">
        <v>12</v>
      </c>
      <c r="J14" s="143">
        <v>0</v>
      </c>
      <c r="K14" s="143">
        <v>0</v>
      </c>
      <c r="L14" s="143">
        <v>0</v>
      </c>
      <c r="M14" s="143">
        <v>0</v>
      </c>
      <c r="N14" s="143">
        <v>0</v>
      </c>
      <c r="O14" s="143">
        <v>0</v>
      </c>
      <c r="P14" s="143">
        <v>0</v>
      </c>
      <c r="Q14" s="143">
        <v>0</v>
      </c>
      <c r="R14" s="143">
        <v>0</v>
      </c>
      <c r="S14" s="143">
        <v>0</v>
      </c>
      <c r="T14" s="143">
        <v>0</v>
      </c>
      <c r="U14" s="143">
        <v>0</v>
      </c>
      <c r="V14" s="144">
        <f>SUM(J14:U14)</f>
        <v>0</v>
      </c>
      <c r="W14" s="145">
        <f>+V14/$V$15</f>
        <v>0</v>
      </c>
    </row>
    <row r="15" spans="1:23" s="108" customFormat="1" ht="30" customHeight="1" thickBot="1">
      <c r="A15" s="308" t="s">
        <v>39</v>
      </c>
      <c r="B15" s="309"/>
      <c r="C15" s="309"/>
      <c r="D15" s="309"/>
      <c r="E15" s="309"/>
      <c r="F15" s="309"/>
      <c r="G15" s="309"/>
      <c r="H15" s="309"/>
      <c r="I15" s="346"/>
      <c r="J15" s="105">
        <f aca="true" t="shared" si="0" ref="J15:W15">SUM(J10:J14)</f>
        <v>7466920</v>
      </c>
      <c r="K15" s="106">
        <f t="shared" si="0"/>
        <v>0</v>
      </c>
      <c r="L15" s="106">
        <f t="shared" si="0"/>
        <v>0</v>
      </c>
      <c r="M15" s="106">
        <f t="shared" si="0"/>
        <v>7840266</v>
      </c>
      <c r="N15" s="106">
        <f t="shared" si="0"/>
        <v>0</v>
      </c>
      <c r="O15" s="106">
        <f t="shared" si="0"/>
        <v>0</v>
      </c>
      <c r="P15" s="106">
        <f t="shared" si="0"/>
        <v>8232279.300000001</v>
      </c>
      <c r="Q15" s="106">
        <f t="shared" si="0"/>
        <v>0</v>
      </c>
      <c r="R15" s="106">
        <f t="shared" si="0"/>
        <v>0</v>
      </c>
      <c r="S15" s="106">
        <f t="shared" si="0"/>
        <v>8643893.265</v>
      </c>
      <c r="T15" s="106">
        <f t="shared" si="0"/>
        <v>0</v>
      </c>
      <c r="U15" s="106">
        <f t="shared" si="0"/>
        <v>0</v>
      </c>
      <c r="V15" s="106">
        <f t="shared" si="0"/>
        <v>32183358.565</v>
      </c>
      <c r="W15" s="107">
        <f t="shared" si="0"/>
        <v>1</v>
      </c>
    </row>
    <row r="18" ht="12.75">
      <c r="C18" s="202">
        <f>+J15</f>
        <v>7466920</v>
      </c>
    </row>
    <row r="19" ht="12.75">
      <c r="C19" s="202">
        <f>+C18*1.05</f>
        <v>7840266</v>
      </c>
    </row>
    <row r="20" ht="12.75">
      <c r="C20" s="202">
        <f>+C19*1.05</f>
        <v>8232279.300000001</v>
      </c>
    </row>
    <row r="21" ht="12.75">
      <c r="C21" s="202">
        <f>+C20*1.05</f>
        <v>8643893.265</v>
      </c>
    </row>
  </sheetData>
  <sheetProtection/>
  <mergeCells count="20">
    <mergeCell ref="A10:A14"/>
    <mergeCell ref="J8:L8"/>
    <mergeCell ref="M8:O8"/>
    <mergeCell ref="P8:R8"/>
    <mergeCell ref="A15:I15"/>
    <mergeCell ref="A8:A9"/>
    <mergeCell ref="B8:B9"/>
    <mergeCell ref="C8:C9"/>
    <mergeCell ref="D8:I8"/>
    <mergeCell ref="B12:B13"/>
    <mergeCell ref="S8:U8"/>
    <mergeCell ref="V8:V9"/>
    <mergeCell ref="W8:W9"/>
    <mergeCell ref="A1:W1"/>
    <mergeCell ref="A2:W2"/>
    <mergeCell ref="A7:W7"/>
    <mergeCell ref="A3:W3"/>
    <mergeCell ref="A5:W5"/>
    <mergeCell ref="A4:W4"/>
    <mergeCell ref="A6:W6"/>
  </mergeCells>
  <hyperlinks>
    <hyperlink ref="D10" r:id="rId1" display="Capitación."/>
  </hyperlinks>
  <printOptions/>
  <pageMargins left="0.3937007874015748" right="0" top="0" bottom="0" header="0" footer="0"/>
  <pageSetup fitToHeight="1" fitToWidth="1" horizontalDpi="1200" verticalDpi="1200" orientation="landscape" paperSize="5"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Fernando Avila</cp:lastModifiedBy>
  <cp:lastPrinted>2012-04-19T18:03:48Z</cp:lastPrinted>
  <dcterms:created xsi:type="dcterms:W3CDTF">2006-02-07T20:57:18Z</dcterms:created>
  <dcterms:modified xsi:type="dcterms:W3CDTF">2012-05-02T13:25:34Z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