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charts/chart3.xml" ContentType="application/vnd.openxmlformats-officedocument.drawingml.char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8490" windowHeight="7560" tabRatio="984" firstSheet="2" activeTab="2"/>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Minhacienda'!$A$3:$B$118</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25725"/>
</workbook>
</file>

<file path=xl/calcChain.xml><?xml version="1.0" encoding="utf-8"?>
<calcChain xmlns="http://schemas.openxmlformats.org/spreadsheetml/2006/main">
  <c r="D23" i="2"/>
  <c r="E23"/>
  <c r="F23"/>
  <c r="G23"/>
  <c r="H23"/>
  <c r="I23"/>
  <c r="J23"/>
  <c r="K23"/>
  <c r="L23"/>
  <c r="M23"/>
  <c r="E24"/>
  <c r="F24"/>
  <c r="G24"/>
  <c r="H24"/>
  <c r="I24"/>
  <c r="J24"/>
  <c r="K24"/>
  <c r="L24"/>
  <c r="M24"/>
  <c r="D24"/>
  <c r="E93"/>
  <c r="F93" s="1"/>
  <c r="G93" s="1"/>
  <c r="H93" s="1"/>
  <c r="I93" s="1"/>
  <c r="J93" s="1"/>
  <c r="K93" s="1"/>
  <c r="L93" s="1"/>
  <c r="M93" s="1"/>
  <c r="E92"/>
  <c r="F92" s="1"/>
  <c r="G92" s="1"/>
  <c r="H92" s="1"/>
  <c r="I92" s="1"/>
  <c r="J92" s="1"/>
  <c r="K92" s="1"/>
  <c r="L92" s="1"/>
  <c r="M92" s="1"/>
  <c r="F91"/>
  <c r="G91" s="1"/>
  <c r="H91" s="1"/>
  <c r="I91" s="1"/>
  <c r="J91" s="1"/>
  <c r="K91" s="1"/>
  <c r="L91" s="1"/>
  <c r="M91" s="1"/>
  <c r="E91"/>
  <c r="E90"/>
  <c r="F90" s="1"/>
  <c r="G90" s="1"/>
  <c r="H90" s="1"/>
  <c r="I90" s="1"/>
  <c r="J90" s="1"/>
  <c r="K90" s="1"/>
  <c r="L90" s="1"/>
  <c r="M90" s="1"/>
  <c r="E88"/>
  <c r="F88" s="1"/>
  <c r="G88" s="1"/>
  <c r="H88" s="1"/>
  <c r="I88" s="1"/>
  <c r="J88" s="1"/>
  <c r="K88" s="1"/>
  <c r="L88" s="1"/>
  <c r="M88" s="1"/>
  <c r="E84"/>
  <c r="F84" s="1"/>
  <c r="G84" s="1"/>
  <c r="H84" s="1"/>
  <c r="I84" s="1"/>
  <c r="J84" s="1"/>
  <c r="K84" s="1"/>
  <c r="L84" s="1"/>
  <c r="M84" s="1"/>
  <c r="E80"/>
  <c r="F80" s="1"/>
  <c r="G80" s="1"/>
  <c r="H80" s="1"/>
  <c r="I80" s="1"/>
  <c r="J80" s="1"/>
  <c r="K80" s="1"/>
  <c r="L80" s="1"/>
  <c r="M80" s="1"/>
  <c r="F78"/>
  <c r="G78" s="1"/>
  <c r="H78" s="1"/>
  <c r="I78" s="1"/>
  <c r="J78" s="1"/>
  <c r="K78" s="1"/>
  <c r="L78" s="1"/>
  <c r="M78" s="1"/>
  <c r="E78"/>
  <c r="E76"/>
  <c r="F76" s="1"/>
  <c r="G76" s="1"/>
  <c r="H76" s="1"/>
  <c r="I76" s="1"/>
  <c r="J76" s="1"/>
  <c r="K76" s="1"/>
  <c r="L76" s="1"/>
  <c r="M76" s="1"/>
  <c r="F69"/>
  <c r="G69" s="1"/>
  <c r="H69" s="1"/>
  <c r="I69" s="1"/>
  <c r="J69" s="1"/>
  <c r="K69" s="1"/>
  <c r="L69" s="1"/>
  <c r="M69" s="1"/>
  <c r="E69"/>
  <c r="F67"/>
  <c r="G67" s="1"/>
  <c r="H67" s="1"/>
  <c r="I67" s="1"/>
  <c r="J67" s="1"/>
  <c r="K67" s="1"/>
  <c r="L67" s="1"/>
  <c r="M67" s="1"/>
  <c r="E67"/>
  <c r="E66"/>
  <c r="F66" s="1"/>
  <c r="G66" s="1"/>
  <c r="H66" s="1"/>
  <c r="I66" s="1"/>
  <c r="J66" s="1"/>
  <c r="K66" s="1"/>
  <c r="L66" s="1"/>
  <c r="M66" s="1"/>
  <c r="F65"/>
  <c r="G65" s="1"/>
  <c r="H65" s="1"/>
  <c r="I65" s="1"/>
  <c r="J65" s="1"/>
  <c r="K65" s="1"/>
  <c r="L65" s="1"/>
  <c r="M65" s="1"/>
  <c r="E65"/>
  <c r="F47"/>
  <c r="G47" s="1"/>
  <c r="H47" s="1"/>
  <c r="I47" s="1"/>
  <c r="J47" s="1"/>
  <c r="K47" s="1"/>
  <c r="L47" s="1"/>
  <c r="M47" s="1"/>
  <c r="E47"/>
  <c r="F46"/>
  <c r="G46" s="1"/>
  <c r="H46" s="1"/>
  <c r="I46" s="1"/>
  <c r="J46" s="1"/>
  <c r="K46" s="1"/>
  <c r="L46" s="1"/>
  <c r="M46" s="1"/>
  <c r="E46"/>
  <c r="E42"/>
  <c r="F42" s="1"/>
  <c r="G42" s="1"/>
  <c r="H42" s="1"/>
  <c r="I42" s="1"/>
  <c r="J42" s="1"/>
  <c r="K42" s="1"/>
  <c r="L42" s="1"/>
  <c r="M42" s="1"/>
  <c r="E41"/>
  <c r="F41" s="1"/>
  <c r="G41" s="1"/>
  <c r="H41" s="1"/>
  <c r="I41" s="1"/>
  <c r="J41" s="1"/>
  <c r="K41" s="1"/>
  <c r="L41" s="1"/>
  <c r="M41" s="1"/>
  <c r="F40"/>
  <c r="G40" s="1"/>
  <c r="H40" s="1"/>
  <c r="I40" s="1"/>
  <c r="J40" s="1"/>
  <c r="K40" s="1"/>
  <c r="L40" s="1"/>
  <c r="M40" s="1"/>
  <c r="E40"/>
  <c r="E39"/>
  <c r="F39" s="1"/>
  <c r="G39" s="1"/>
  <c r="H39" s="1"/>
  <c r="I39" s="1"/>
  <c r="J39" s="1"/>
  <c r="K39" s="1"/>
  <c r="L39" s="1"/>
  <c r="M39" s="1"/>
  <c r="F38"/>
  <c r="G38" s="1"/>
  <c r="H38" s="1"/>
  <c r="I38" s="1"/>
  <c r="J38" s="1"/>
  <c r="K38" s="1"/>
  <c r="L38" s="1"/>
  <c r="M38" s="1"/>
  <c r="E38"/>
  <c r="E37"/>
  <c r="F37" s="1"/>
  <c r="G37" s="1"/>
  <c r="H37" s="1"/>
  <c r="I37" s="1"/>
  <c r="J37" s="1"/>
  <c r="K37" s="1"/>
  <c r="L37" s="1"/>
  <c r="M37" s="1"/>
  <c r="E36"/>
  <c r="F36" s="1"/>
  <c r="G36" s="1"/>
  <c r="H36" s="1"/>
  <c r="I36" s="1"/>
  <c r="J36" s="1"/>
  <c r="K36" s="1"/>
  <c r="L36" s="1"/>
  <c r="M36" s="1"/>
  <c r="E35"/>
  <c r="F35" s="1"/>
  <c r="G35" s="1"/>
  <c r="H35" s="1"/>
  <c r="I35" s="1"/>
  <c r="J35" s="1"/>
  <c r="K35" s="1"/>
  <c r="L35" s="1"/>
  <c r="M35" s="1"/>
  <c r="F34"/>
  <c r="G34" s="1"/>
  <c r="H34" s="1"/>
  <c r="I34" s="1"/>
  <c r="J34" s="1"/>
  <c r="K34" s="1"/>
  <c r="L34" s="1"/>
  <c r="M34" s="1"/>
  <c r="E34"/>
  <c r="F26"/>
  <c r="G26" s="1"/>
  <c r="H26" s="1"/>
  <c r="I26" s="1"/>
  <c r="J26" s="1"/>
  <c r="K26" s="1"/>
  <c r="L26" s="1"/>
  <c r="M26" s="1"/>
  <c r="E26"/>
  <c r="F25"/>
  <c r="G25" s="1"/>
  <c r="H25" s="1"/>
  <c r="I25" s="1"/>
  <c r="J25" s="1"/>
  <c r="K25" s="1"/>
  <c r="L25" s="1"/>
  <c r="M25" s="1"/>
  <c r="E25"/>
  <c r="E21"/>
  <c r="F21" s="1"/>
  <c r="G21" s="1"/>
  <c r="H21" s="1"/>
  <c r="I21" s="1"/>
  <c r="J21" s="1"/>
  <c r="K21" s="1"/>
  <c r="L21" s="1"/>
  <c r="M21" s="1"/>
  <c r="F20"/>
  <c r="G20" s="1"/>
  <c r="H20" s="1"/>
  <c r="I20" s="1"/>
  <c r="J20" s="1"/>
  <c r="K20" s="1"/>
  <c r="L20" s="1"/>
  <c r="M20" s="1"/>
  <c r="E20"/>
  <c r="F18"/>
  <c r="G18" s="1"/>
  <c r="H18" s="1"/>
  <c r="I18" s="1"/>
  <c r="J18" s="1"/>
  <c r="K18" s="1"/>
  <c r="L18" s="1"/>
  <c r="M18" s="1"/>
  <c r="E18"/>
  <c r="E15"/>
  <c r="F15" s="1"/>
  <c r="G15" s="1"/>
  <c r="H15" s="1"/>
  <c r="I15" s="1"/>
  <c r="J15" s="1"/>
  <c r="K15" s="1"/>
  <c r="L15" s="1"/>
  <c r="M15" s="1"/>
  <c r="E14"/>
  <c r="F14" s="1"/>
  <c r="G14" s="1"/>
  <c r="H14" s="1"/>
  <c r="I14" s="1"/>
  <c r="J14" s="1"/>
  <c r="K14" s="1"/>
  <c r="L14" s="1"/>
  <c r="M14" s="1"/>
  <c r="F9"/>
  <c r="G9" s="1"/>
  <c r="H9" s="1"/>
  <c r="I9" s="1"/>
  <c r="J9" s="1"/>
  <c r="K9" s="1"/>
  <c r="L9" s="1"/>
  <c r="M9" s="1"/>
  <c r="E9"/>
  <c r="F8"/>
  <c r="G8" s="1"/>
  <c r="H8" s="1"/>
  <c r="I8" s="1"/>
  <c r="J8" s="1"/>
  <c r="K8" s="1"/>
  <c r="L8" s="1"/>
  <c r="M8" s="1"/>
  <c r="E8"/>
  <c r="E71"/>
  <c r="F71"/>
  <c r="G71"/>
  <c r="D71"/>
  <c r="D93"/>
  <c r="D69"/>
  <c r="D51"/>
  <c r="E51" s="1"/>
  <c r="F51" s="1"/>
  <c r="G51" s="1"/>
  <c r="H51" s="1"/>
  <c r="I51" s="1"/>
  <c r="J51" s="1"/>
  <c r="K51" s="1"/>
  <c r="L51" s="1"/>
  <c r="M51" s="1"/>
  <c r="D78"/>
  <c r="D21"/>
  <c r="D26"/>
  <c r="D35"/>
  <c r="D41"/>
  <c r="D39"/>
  <c r="D76"/>
  <c r="D40"/>
  <c r="D38"/>
  <c r="D37"/>
  <c r="C23"/>
  <c r="C24"/>
  <c r="C69"/>
  <c r="C93"/>
  <c r="C90"/>
  <c r="C66"/>
  <c r="C38"/>
  <c r="C20"/>
  <c r="C18"/>
  <c r="C58"/>
  <c r="C55"/>
  <c r="C51"/>
  <c r="C47"/>
  <c r="C46"/>
  <c r="E39" i="6"/>
  <c r="D39"/>
  <c r="C39"/>
  <c r="B39"/>
  <c r="C33"/>
  <c r="D33"/>
  <c r="E33"/>
  <c r="B33"/>
  <c r="C34"/>
  <c r="D34"/>
  <c r="E34"/>
  <c r="B34"/>
  <c r="E29"/>
  <c r="E12"/>
  <c r="C17"/>
  <c r="D17"/>
  <c r="E17"/>
  <c r="C30"/>
  <c r="D30"/>
  <c r="E30"/>
  <c r="B30"/>
  <c r="B17"/>
  <c r="C25"/>
  <c r="D25"/>
  <c r="E25"/>
  <c r="B25"/>
  <c r="C24"/>
  <c r="D24"/>
  <c r="B24"/>
  <c r="C18"/>
  <c r="D18"/>
  <c r="E18"/>
  <c r="B18"/>
  <c r="C6"/>
  <c r="D6"/>
  <c r="B6"/>
  <c r="C7"/>
  <c r="D7"/>
  <c r="B7"/>
  <c r="C14"/>
  <c r="D14"/>
  <c r="E14"/>
  <c r="B14"/>
  <c r="C8"/>
  <c r="D8"/>
  <c r="E8"/>
  <c r="B8"/>
  <c r="C35"/>
  <c r="D35"/>
  <c r="E35"/>
  <c r="B35"/>
  <c r="C19"/>
  <c r="D19"/>
  <c r="E19"/>
  <c r="B19"/>
  <c r="C6" i="14"/>
  <c r="D6"/>
  <c r="B6"/>
  <c r="G9"/>
  <c r="F6"/>
  <c r="F12"/>
  <c r="C9" i="8"/>
  <c r="E7" i="6" l="1"/>
  <c r="E6" s="1"/>
  <c r="E24"/>
  <c r="G6" i="14"/>
  <c r="H6"/>
  <c r="I6"/>
  <c r="F7"/>
  <c r="G7"/>
  <c r="H7"/>
  <c r="I7"/>
  <c r="F8"/>
  <c r="G8"/>
  <c r="H8"/>
  <c r="I8"/>
  <c r="F9"/>
  <c r="H9"/>
  <c r="I9"/>
  <c r="F10"/>
  <c r="G10"/>
  <c r="H10"/>
  <c r="I10"/>
  <c r="F11"/>
  <c r="G11"/>
  <c r="H11"/>
  <c r="I11"/>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F42"/>
  <c r="G42"/>
  <c r="H42"/>
  <c r="I42"/>
  <c r="F43"/>
  <c r="G43"/>
  <c r="H43"/>
  <c r="I43"/>
  <c r="F44"/>
  <c r="G44"/>
  <c r="H44"/>
  <c r="I44"/>
  <c r="F45"/>
  <c r="G45"/>
  <c r="H45"/>
  <c r="I45"/>
  <c r="F46"/>
  <c r="G46"/>
  <c r="H46"/>
  <c r="I46"/>
  <c r="F47"/>
  <c r="G47"/>
  <c r="H47"/>
  <c r="I47"/>
  <c r="F48"/>
  <c r="G48"/>
  <c r="H48"/>
  <c r="I48"/>
  <c r="F49"/>
  <c r="G49"/>
  <c r="H49"/>
  <c r="I49"/>
  <c r="P126" i="15"/>
  <c r="P127"/>
  <c r="P128"/>
  <c r="P129"/>
  <c r="P130"/>
  <c r="P131"/>
  <c r="P132"/>
  <c r="P125"/>
  <c r="O133"/>
  <c r="P133" s="1"/>
  <c r="Q126" s="1"/>
  <c r="N133"/>
  <c r="N136" s="1"/>
  <c r="M6" i="9"/>
  <c r="L6"/>
  <c r="Q125" i="15" l="1"/>
  <c r="Q133"/>
  <c r="Q132"/>
  <c r="Q131"/>
  <c r="Q130"/>
  <c r="Q129"/>
  <c r="Q128"/>
  <c r="Q127"/>
  <c r="G104" l="1"/>
  <c r="I23" i="9"/>
  <c r="J120" i="2"/>
  <c r="J23" i="9" s="1"/>
  <c r="C23"/>
  <c r="K120" i="2" l="1"/>
  <c r="D120"/>
  <c r="Q39" i="14"/>
  <c r="P39"/>
  <c r="O39"/>
  <c r="N39"/>
  <c r="Q38"/>
  <c r="P38"/>
  <c r="O38"/>
  <c r="N38"/>
  <c r="Q37"/>
  <c r="P37"/>
  <c r="O37"/>
  <c r="N37"/>
  <c r="L120" i="2" l="1"/>
  <c r="K23" i="9"/>
  <c r="D23"/>
  <c r="E120" i="2"/>
  <c r="M88" i="15"/>
  <c r="N83" s="1"/>
  <c r="B2" i="8"/>
  <c r="A2" i="2"/>
  <c r="I60"/>
  <c r="M15" i="8"/>
  <c r="L15"/>
  <c r="K15"/>
  <c r="J15"/>
  <c r="I15"/>
  <c r="H15"/>
  <c r="G15"/>
  <c r="F15"/>
  <c r="E15"/>
  <c r="D15"/>
  <c r="M14"/>
  <c r="L14"/>
  <c r="K14"/>
  <c r="J14"/>
  <c r="I14"/>
  <c r="H14"/>
  <c r="G14"/>
  <c r="F14"/>
  <c r="E14"/>
  <c r="D14"/>
  <c r="M13"/>
  <c r="L13"/>
  <c r="K13"/>
  <c r="J13"/>
  <c r="I13"/>
  <c r="H13"/>
  <c r="G13"/>
  <c r="F13"/>
  <c r="E13"/>
  <c r="D13"/>
  <c r="M12"/>
  <c r="L12"/>
  <c r="K12"/>
  <c r="J12"/>
  <c r="I12"/>
  <c r="H12"/>
  <c r="G12"/>
  <c r="F12"/>
  <c r="E12"/>
  <c r="D12"/>
  <c r="M11"/>
  <c r="L11"/>
  <c r="K11"/>
  <c r="J11"/>
  <c r="I11"/>
  <c r="H11"/>
  <c r="G11"/>
  <c r="F11"/>
  <c r="E11"/>
  <c r="D11"/>
  <c r="M10"/>
  <c r="L10"/>
  <c r="K10"/>
  <c r="J10"/>
  <c r="I10"/>
  <c r="H10"/>
  <c r="G10"/>
  <c r="F10"/>
  <c r="E10"/>
  <c r="D10"/>
  <c r="C15"/>
  <c r="C14"/>
  <c r="C13"/>
  <c r="C12"/>
  <c r="C11"/>
  <c r="C10"/>
  <c r="B1" i="12"/>
  <c r="A3" i="14"/>
  <c r="A3" i="6" s="1"/>
  <c r="B1" i="15"/>
  <c r="Q28" i="14"/>
  <c r="P28"/>
  <c r="O28"/>
  <c r="Q27"/>
  <c r="P27"/>
  <c r="O27"/>
  <c r="Q26"/>
  <c r="P26"/>
  <c r="O26"/>
  <c r="N28"/>
  <c r="N27"/>
  <c r="N26"/>
  <c r="Q25"/>
  <c r="P25"/>
  <c r="O25"/>
  <c r="N25"/>
  <c r="Q24"/>
  <c r="P24"/>
  <c r="O24"/>
  <c r="N24"/>
  <c r="Q23"/>
  <c r="P23"/>
  <c r="O23"/>
  <c r="N23"/>
  <c r="Q22"/>
  <c r="P22"/>
  <c r="O22"/>
  <c r="N22"/>
  <c r="Q21"/>
  <c r="P21"/>
  <c r="O21"/>
  <c r="N21"/>
  <c r="Q20"/>
  <c r="P20"/>
  <c r="O20"/>
  <c r="N20"/>
  <c r="N6"/>
  <c r="Q49"/>
  <c r="P49"/>
  <c r="O49"/>
  <c r="N49"/>
  <c r="Q48"/>
  <c r="P48"/>
  <c r="O48"/>
  <c r="N48"/>
  <c r="Q47"/>
  <c r="P47"/>
  <c r="O47"/>
  <c r="N47"/>
  <c r="Q46"/>
  <c r="P46"/>
  <c r="O46"/>
  <c r="N46"/>
  <c r="Q45"/>
  <c r="P45"/>
  <c r="O45"/>
  <c r="N45"/>
  <c r="Q44"/>
  <c r="P44"/>
  <c r="O44"/>
  <c r="N44"/>
  <c r="Q43"/>
  <c r="P43"/>
  <c r="O43"/>
  <c r="N43"/>
  <c r="Q42"/>
  <c r="P42"/>
  <c r="O42"/>
  <c r="N42"/>
  <c r="Q41"/>
  <c r="P41"/>
  <c r="O41"/>
  <c r="N41"/>
  <c r="Q40"/>
  <c r="P40"/>
  <c r="O40"/>
  <c r="N40"/>
  <c r="Q36"/>
  <c r="P36"/>
  <c r="O36"/>
  <c r="N36"/>
  <c r="Q35"/>
  <c r="P35"/>
  <c r="O35"/>
  <c r="N35"/>
  <c r="Q34"/>
  <c r="P34"/>
  <c r="O34"/>
  <c r="N34"/>
  <c r="Q33"/>
  <c r="P33"/>
  <c r="O33"/>
  <c r="N33"/>
  <c r="Q32"/>
  <c r="P32"/>
  <c r="O32"/>
  <c r="N32"/>
  <c r="Q31"/>
  <c r="P31"/>
  <c r="O31"/>
  <c r="N31"/>
  <c r="Q30"/>
  <c r="P30"/>
  <c r="O30"/>
  <c r="N30"/>
  <c r="Q29"/>
  <c r="P29"/>
  <c r="O29"/>
  <c r="N29"/>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M120" i="2" l="1"/>
  <c r="M23" i="9" s="1"/>
  <c r="L23"/>
  <c r="N88" i="15"/>
  <c r="N86"/>
  <c r="N84"/>
  <c r="N82"/>
  <c r="N81"/>
  <c r="N87"/>
  <c r="N85"/>
  <c r="E23" i="9"/>
  <c r="F120" i="2"/>
  <c r="K6" i="14"/>
  <c r="R6"/>
  <c r="J6"/>
  <c r="L6"/>
  <c r="J7"/>
  <c r="L7"/>
  <c r="J8"/>
  <c r="L8"/>
  <c r="J9"/>
  <c r="L9"/>
  <c r="J10"/>
  <c r="L10"/>
  <c r="J11"/>
  <c r="L11"/>
  <c r="J12"/>
  <c r="L12"/>
  <c r="J13"/>
  <c r="L13"/>
  <c r="J14"/>
  <c r="L14"/>
  <c r="J1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K7"/>
  <c r="M7" s="1"/>
  <c r="K10"/>
  <c r="K11"/>
  <c r="M11" s="1"/>
  <c r="R11" s="1"/>
  <c r="K12"/>
  <c r="K13"/>
  <c r="M13" s="1"/>
  <c r="R13" s="1"/>
  <c r="K14"/>
  <c r="K15"/>
  <c r="M15" s="1"/>
  <c r="R15" s="1"/>
  <c r="K16"/>
  <c r="K17"/>
  <c r="M17" s="1"/>
  <c r="R17" s="1"/>
  <c r="K18"/>
  <c r="K19"/>
  <c r="K20"/>
  <c r="K21"/>
  <c r="K22"/>
  <c r="K23"/>
  <c r="M23" s="1"/>
  <c r="R23" s="1"/>
  <c r="K24"/>
  <c r="K25"/>
  <c r="M25" s="1"/>
  <c r="R25" s="1"/>
  <c r="K26"/>
  <c r="K27"/>
  <c r="M27" s="1"/>
  <c r="R27" s="1"/>
  <c r="K28"/>
  <c r="K29"/>
  <c r="M29" s="1"/>
  <c r="R29" s="1"/>
  <c r="K30"/>
  <c r="K31"/>
  <c r="M31" s="1"/>
  <c r="R31" s="1"/>
  <c r="K32"/>
  <c r="K33"/>
  <c r="M33" s="1"/>
  <c r="R33" s="1"/>
  <c r="K34"/>
  <c r="K35"/>
  <c r="M35" s="1"/>
  <c r="R35" s="1"/>
  <c r="K36"/>
  <c r="K37"/>
  <c r="M37" s="1"/>
  <c r="R37" s="1"/>
  <c r="K38"/>
  <c r="K39"/>
  <c r="M39" s="1"/>
  <c r="R39" s="1"/>
  <c r="K40"/>
  <c r="K41"/>
  <c r="M41" s="1"/>
  <c r="R41" s="1"/>
  <c r="K42"/>
  <c r="K43"/>
  <c r="M43" s="1"/>
  <c r="R43" s="1"/>
  <c r="K44"/>
  <c r="K45"/>
  <c r="M45" s="1"/>
  <c r="R45" s="1"/>
  <c r="K46"/>
  <c r="K47"/>
  <c r="M47" s="1"/>
  <c r="R47" s="1"/>
  <c r="K48"/>
  <c r="K49"/>
  <c r="M49" s="1"/>
  <c r="R49" s="1"/>
  <c r="K8"/>
  <c r="K9"/>
  <c r="M9" s="1"/>
  <c r="R9" s="1"/>
  <c r="R7"/>
  <c r="M21" l="1"/>
  <c r="R21" s="1"/>
  <c r="M19"/>
  <c r="R19" s="1"/>
  <c r="F23" i="9"/>
  <c r="G120" i="2"/>
  <c r="M8" i="14"/>
  <c r="R8" s="1"/>
  <c r="M48"/>
  <c r="R48" s="1"/>
  <c r="M46"/>
  <c r="R46" s="1"/>
  <c r="M44"/>
  <c r="R44" s="1"/>
  <c r="M42"/>
  <c r="R42" s="1"/>
  <c r="M40"/>
  <c r="R40" s="1"/>
  <c r="M38"/>
  <c r="R38" s="1"/>
  <c r="M36"/>
  <c r="R36" s="1"/>
  <c r="M34"/>
  <c r="R34" s="1"/>
  <c r="M32"/>
  <c r="R32" s="1"/>
  <c r="M30"/>
  <c r="R30" s="1"/>
  <c r="M28"/>
  <c r="R28" s="1"/>
  <c r="M26"/>
  <c r="R26" s="1"/>
  <c r="M24"/>
  <c r="R24" s="1"/>
  <c r="M22"/>
  <c r="R22" s="1"/>
  <c r="M20"/>
  <c r="R20" s="1"/>
  <c r="M18"/>
  <c r="R18" s="1"/>
  <c r="M16"/>
  <c r="R16" s="1"/>
  <c r="M14"/>
  <c r="R14" s="1"/>
  <c r="M12"/>
  <c r="R12" s="1"/>
  <c r="M10"/>
  <c r="R10" s="1"/>
  <c r="M6"/>
  <c r="G23" i="9" l="1"/>
  <c r="H120" i="2"/>
  <c r="H23" i="9" s="1"/>
  <c r="M35"/>
  <c r="L35"/>
  <c r="K35"/>
  <c r="J35"/>
  <c r="I35"/>
  <c r="H35"/>
  <c r="G35"/>
  <c r="F35"/>
  <c r="E35"/>
  <c r="D35"/>
  <c r="C35"/>
  <c r="M27"/>
  <c r="L27"/>
  <c r="K27"/>
  <c r="J27"/>
  <c r="I27"/>
  <c r="H27"/>
  <c r="G27"/>
  <c r="F27"/>
  <c r="E27"/>
  <c r="D27"/>
  <c r="M20"/>
  <c r="L20"/>
  <c r="K20"/>
  <c r="J20"/>
  <c r="I20"/>
  <c r="H20"/>
  <c r="G20"/>
  <c r="F20"/>
  <c r="E20"/>
  <c r="D20"/>
  <c r="M17"/>
  <c r="L17"/>
  <c r="K17"/>
  <c r="J17"/>
  <c r="I17"/>
  <c r="H17"/>
  <c r="G17"/>
  <c r="F17"/>
  <c r="E17"/>
  <c r="D17"/>
  <c r="M15"/>
  <c r="L15"/>
  <c r="K15"/>
  <c r="J15"/>
  <c r="I15"/>
  <c r="H15"/>
  <c r="G15"/>
  <c r="F15"/>
  <c r="E15"/>
  <c r="D15"/>
  <c r="M14"/>
  <c r="L14"/>
  <c r="K14"/>
  <c r="J14"/>
  <c r="I14"/>
  <c r="H14"/>
  <c r="G14"/>
  <c r="F14"/>
  <c r="E14"/>
  <c r="D14"/>
  <c r="M10"/>
  <c r="L10"/>
  <c r="K10"/>
  <c r="J10"/>
  <c r="I10"/>
  <c r="H10"/>
  <c r="G10"/>
  <c r="F10"/>
  <c r="E10"/>
  <c r="D10"/>
  <c r="M9"/>
  <c r="L9"/>
  <c r="K9"/>
  <c r="J9"/>
  <c r="I9"/>
  <c r="H9"/>
  <c r="G9"/>
  <c r="F9"/>
  <c r="E9"/>
  <c r="D9"/>
  <c r="M8"/>
  <c r="L8"/>
  <c r="K8"/>
  <c r="J8"/>
  <c r="I8"/>
  <c r="H8"/>
  <c r="G8"/>
  <c r="F8"/>
  <c r="E8"/>
  <c r="D8"/>
  <c r="C27"/>
  <c r="C3" i="8"/>
  <c r="B3" i="10" s="1"/>
  <c r="B12" s="1"/>
  <c r="M47" i="8"/>
  <c r="L47"/>
  <c r="K47"/>
  <c r="J47"/>
  <c r="I47"/>
  <c r="H47"/>
  <c r="G47"/>
  <c r="F47"/>
  <c r="E47"/>
  <c r="D47"/>
  <c r="M41"/>
  <c r="L41"/>
  <c r="K41"/>
  <c r="J41"/>
  <c r="I41"/>
  <c r="H41"/>
  <c r="G41"/>
  <c r="F41"/>
  <c r="E41"/>
  <c r="D41"/>
  <c r="M40"/>
  <c r="M46" s="1"/>
  <c r="L40"/>
  <c r="L46" s="1"/>
  <c r="K40"/>
  <c r="K46" s="1"/>
  <c r="J40"/>
  <c r="J46" s="1"/>
  <c r="I40"/>
  <c r="I46" s="1"/>
  <c r="H40"/>
  <c r="H46" s="1"/>
  <c r="G40"/>
  <c r="G46" s="1"/>
  <c r="F40"/>
  <c r="F46" s="1"/>
  <c r="E40"/>
  <c r="E46" s="1"/>
  <c r="D40"/>
  <c r="D46" s="1"/>
  <c r="M39"/>
  <c r="L39"/>
  <c r="K39"/>
  <c r="J39"/>
  <c r="I39"/>
  <c r="H39"/>
  <c r="G39"/>
  <c r="F39"/>
  <c r="E39"/>
  <c r="D39"/>
  <c r="M33"/>
  <c r="L33"/>
  <c r="K33"/>
  <c r="J33"/>
  <c r="I33"/>
  <c r="H33"/>
  <c r="G33"/>
  <c r="F33"/>
  <c r="E33"/>
  <c r="D33"/>
  <c r="M32"/>
  <c r="L32"/>
  <c r="K32"/>
  <c r="J32"/>
  <c r="I32"/>
  <c r="H32"/>
  <c r="G32"/>
  <c r="F32"/>
  <c r="E32"/>
  <c r="D32"/>
  <c r="M30"/>
  <c r="L30"/>
  <c r="K30"/>
  <c r="J30"/>
  <c r="I30"/>
  <c r="H30"/>
  <c r="G30"/>
  <c r="F30"/>
  <c r="E30"/>
  <c r="D30"/>
  <c r="M24"/>
  <c r="L24"/>
  <c r="K24"/>
  <c r="J24"/>
  <c r="I24"/>
  <c r="H24"/>
  <c r="G24"/>
  <c r="F24"/>
  <c r="E24"/>
  <c r="D24"/>
  <c r="M23"/>
  <c r="L23"/>
  <c r="K23"/>
  <c r="J23"/>
  <c r="I23"/>
  <c r="H23"/>
  <c r="G23"/>
  <c r="F23"/>
  <c r="E23"/>
  <c r="D23"/>
  <c r="M9"/>
  <c r="L9"/>
  <c r="K9"/>
  <c r="J9"/>
  <c r="I9"/>
  <c r="H9"/>
  <c r="G9"/>
  <c r="F9"/>
  <c r="E9"/>
  <c r="D9"/>
  <c r="M8"/>
  <c r="L8"/>
  <c r="K8"/>
  <c r="J8"/>
  <c r="I8"/>
  <c r="H8"/>
  <c r="G8"/>
  <c r="F8"/>
  <c r="E8"/>
  <c r="D8"/>
  <c r="M7"/>
  <c r="L7"/>
  <c r="L6" s="1"/>
  <c r="K7"/>
  <c r="J7"/>
  <c r="I7"/>
  <c r="H7"/>
  <c r="H6" s="1"/>
  <c r="G7"/>
  <c r="F7"/>
  <c r="E7"/>
  <c r="D7"/>
  <c r="D6" s="1"/>
  <c r="J6"/>
  <c r="F6"/>
  <c r="C7"/>
  <c r="C8"/>
  <c r="C23"/>
  <c r="C24"/>
  <c r="C30"/>
  <c r="C32"/>
  <c r="C33"/>
  <c r="C40"/>
  <c r="C41"/>
  <c r="C46"/>
  <c r="C47"/>
  <c r="C49"/>
  <c r="C114" i="2"/>
  <c r="C103"/>
  <c r="C100"/>
  <c r="C87"/>
  <c r="C86" s="1"/>
  <c r="C74"/>
  <c r="B5" i="10" s="1"/>
  <c r="C70" i="2"/>
  <c r="C25" i="9" s="1"/>
  <c r="C64" i="2"/>
  <c r="C36" i="8" s="1"/>
  <c r="C60" i="2"/>
  <c r="C27" i="8" s="1"/>
  <c r="C48" i="2"/>
  <c r="C25" i="8" s="1"/>
  <c r="C33" i="2"/>
  <c r="C32" s="1"/>
  <c r="C27"/>
  <c r="C19" i="8" s="1"/>
  <c r="C18"/>
  <c r="C19" i="2"/>
  <c r="C16" i="8" s="1"/>
  <c r="C6" i="2"/>
  <c r="M6" i="8" l="1"/>
  <c r="G6"/>
  <c r="I6"/>
  <c r="K6"/>
  <c r="E6"/>
  <c r="C99" i="2"/>
  <c r="C98" s="1"/>
  <c r="C17" i="8"/>
  <c r="C39"/>
  <c r="C45"/>
  <c r="C31" i="2"/>
  <c r="C31" i="8"/>
  <c r="C29" s="1"/>
  <c r="C45" i="2"/>
  <c r="C35" i="8"/>
  <c r="C34" s="1"/>
  <c r="C26"/>
  <c r="C6"/>
  <c r="B7" i="10"/>
  <c r="C22" i="8"/>
  <c r="C96" i="2"/>
  <c r="C21" i="8" l="1"/>
  <c r="C20" s="1"/>
  <c r="C51" s="1"/>
  <c r="C22" i="2"/>
  <c r="C5" s="1"/>
  <c r="B4" i="10" s="1"/>
  <c r="C5" i="8"/>
  <c r="C4" s="1"/>
  <c r="C44" i="2"/>
  <c r="C43" s="1"/>
  <c r="B6" i="10"/>
  <c r="C107" i="2" l="1"/>
  <c r="C108" s="1"/>
  <c r="C4"/>
  <c r="C97" s="1"/>
  <c r="B8" i="10"/>
  <c r="C28" i="8"/>
  <c r="C37" s="1"/>
  <c r="C42" s="1"/>
  <c r="C38" s="1"/>
  <c r="C73" i="2"/>
  <c r="C50" i="8"/>
  <c r="C52" s="1"/>
  <c r="C117" i="2"/>
  <c r="C111"/>
  <c r="C116" l="1"/>
  <c r="C118" s="1"/>
  <c r="C110"/>
  <c r="C112" s="1"/>
  <c r="C20" i="9"/>
  <c r="C17"/>
  <c r="C16"/>
  <c r="C15"/>
  <c r="C14"/>
  <c r="C10"/>
  <c r="C9"/>
  <c r="C8"/>
  <c r="C5"/>
  <c r="C4"/>
  <c r="D3" i="8" l="1"/>
  <c r="E3"/>
  <c r="F3"/>
  <c r="G3"/>
  <c r="H3"/>
  <c r="I3"/>
  <c r="J3"/>
  <c r="K3"/>
  <c r="L3"/>
  <c r="M3"/>
  <c r="C24" i="9"/>
  <c r="C34" s="1"/>
  <c r="C13"/>
  <c r="Q39" i="6"/>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N32"/>
  <c r="R32" s="1"/>
  <c r="N31"/>
  <c r="N30"/>
  <c r="R30" s="1"/>
  <c r="N24"/>
  <c r="N23"/>
  <c r="N22"/>
  <c r="N21"/>
  <c r="N20"/>
  <c r="N19"/>
  <c r="N18"/>
  <c r="N17"/>
  <c r="N39"/>
  <c r="N38"/>
  <c r="N37"/>
  <c r="N36"/>
  <c r="N35"/>
  <c r="N34"/>
  <c r="N33"/>
  <c r="N29"/>
  <c r="N28"/>
  <c r="N27"/>
  <c r="N26"/>
  <c r="N25"/>
  <c r="N16"/>
  <c r="N15"/>
  <c r="N14"/>
  <c r="N13"/>
  <c r="N12"/>
  <c r="N11"/>
  <c r="N10"/>
  <c r="N9"/>
  <c r="N8"/>
  <c r="N7"/>
  <c r="N6"/>
  <c r="R6" l="1"/>
  <c r="R8"/>
  <c r="R10"/>
  <c r="R12"/>
  <c r="R14"/>
  <c r="R16"/>
  <c r="R26"/>
  <c r="R28"/>
  <c r="R33"/>
  <c r="R35"/>
  <c r="R37"/>
  <c r="R39"/>
  <c r="R18"/>
  <c r="R20"/>
  <c r="R22"/>
  <c r="B13" i="10"/>
  <c r="B9" s="1"/>
  <c r="B10" s="1"/>
  <c r="L2" i="9"/>
  <c r="L49" i="8"/>
  <c r="L45"/>
  <c r="K3" i="10"/>
  <c r="K12" s="1"/>
  <c r="J2" i="9"/>
  <c r="J49" i="8"/>
  <c r="J45"/>
  <c r="I3" i="10"/>
  <c r="I12" s="1"/>
  <c r="H2" i="9"/>
  <c r="H49" i="8"/>
  <c r="H45"/>
  <c r="G3" i="10"/>
  <c r="G12" s="1"/>
  <c r="F2" i="9"/>
  <c r="F49" i="8"/>
  <c r="F45"/>
  <c r="E3" i="10"/>
  <c r="E12" s="1"/>
  <c r="D2" i="9"/>
  <c r="D49" i="8"/>
  <c r="D45"/>
  <c r="C3" i="10"/>
  <c r="C12" s="1"/>
  <c r="L3"/>
  <c r="L12" s="1"/>
  <c r="M49" i="8"/>
  <c r="M45"/>
  <c r="J3" i="10"/>
  <c r="J12" s="1"/>
  <c r="K49" i="8"/>
  <c r="K45"/>
  <c r="H3" i="10"/>
  <c r="H12" s="1"/>
  <c r="I49" i="8"/>
  <c r="I45"/>
  <c r="F3" i="10"/>
  <c r="F12" s="1"/>
  <c r="G49" i="8"/>
  <c r="G45"/>
  <c r="D3" i="10"/>
  <c r="D12" s="1"/>
  <c r="E49" i="8"/>
  <c r="E45"/>
  <c r="R7" i="6"/>
  <c r="R9"/>
  <c r="R11"/>
  <c r="R13"/>
  <c r="R15"/>
  <c r="R25"/>
  <c r="R27"/>
  <c r="R29"/>
  <c r="R34"/>
  <c r="R36"/>
  <c r="R38"/>
  <c r="R17"/>
  <c r="R19"/>
  <c r="R21"/>
  <c r="R23"/>
  <c r="R24"/>
  <c r="R31"/>
  <c r="M2" i="9"/>
  <c r="K2"/>
  <c r="I2"/>
  <c r="G2"/>
  <c r="E2"/>
  <c r="C2"/>
  <c r="C7"/>
  <c r="C3" s="1"/>
  <c r="I39" i="6"/>
  <c r="H39"/>
  <c r="G39"/>
  <c r="F39"/>
  <c r="I38"/>
  <c r="H38"/>
  <c r="G38"/>
  <c r="F38"/>
  <c r="I37"/>
  <c r="H37"/>
  <c r="G37"/>
  <c r="F37"/>
  <c r="I36"/>
  <c r="H36"/>
  <c r="G36"/>
  <c r="F36"/>
  <c r="I35"/>
  <c r="H35"/>
  <c r="G35"/>
  <c r="F35"/>
  <c r="I34"/>
  <c r="H34"/>
  <c r="G34"/>
  <c r="F34"/>
  <c r="I33"/>
  <c r="H33"/>
  <c r="G33"/>
  <c r="F33"/>
  <c r="I32"/>
  <c r="H32"/>
  <c r="G32"/>
  <c r="F32"/>
  <c r="I31"/>
  <c r="H31"/>
  <c r="G31"/>
  <c r="F31"/>
  <c r="I30"/>
  <c r="H30"/>
  <c r="G30"/>
  <c r="F30"/>
  <c r="I29"/>
  <c r="H29"/>
  <c r="G29"/>
  <c r="F29"/>
  <c r="I28"/>
  <c r="H28"/>
  <c r="G28"/>
  <c r="F28"/>
  <c r="I27"/>
  <c r="H27"/>
  <c r="G27"/>
  <c r="F27"/>
  <c r="I26"/>
  <c r="H26"/>
  <c r="G26"/>
  <c r="F26"/>
  <c r="I25"/>
  <c r="H25"/>
  <c r="G25"/>
  <c r="F25"/>
  <c r="I24"/>
  <c r="H24"/>
  <c r="G24"/>
  <c r="F24"/>
  <c r="I23"/>
  <c r="H23"/>
  <c r="G23"/>
  <c r="F23"/>
  <c r="I22"/>
  <c r="H22"/>
  <c r="G22"/>
  <c r="F22"/>
  <c r="I21"/>
  <c r="H21"/>
  <c r="G21"/>
  <c r="F21"/>
  <c r="I20"/>
  <c r="H20"/>
  <c r="G20"/>
  <c r="F20"/>
  <c r="I19"/>
  <c r="H19"/>
  <c r="G19"/>
  <c r="F19"/>
  <c r="I18"/>
  <c r="H18"/>
  <c r="G18"/>
  <c r="F18"/>
  <c r="I17"/>
  <c r="H17"/>
  <c r="G17"/>
  <c r="F17"/>
  <c r="I16"/>
  <c r="H16"/>
  <c r="G16"/>
  <c r="F16"/>
  <c r="I15"/>
  <c r="H15"/>
  <c r="G15"/>
  <c r="F15"/>
  <c r="I14"/>
  <c r="H14"/>
  <c r="G14"/>
  <c r="F14"/>
  <c r="I13"/>
  <c r="H13"/>
  <c r="G13"/>
  <c r="F13"/>
  <c r="I12"/>
  <c r="H12"/>
  <c r="G12"/>
  <c r="F12"/>
  <c r="I11"/>
  <c r="H11"/>
  <c r="G11"/>
  <c r="F11"/>
  <c r="I10"/>
  <c r="H10"/>
  <c r="G10"/>
  <c r="F10"/>
  <c r="I9"/>
  <c r="H9"/>
  <c r="G9"/>
  <c r="F9"/>
  <c r="I8"/>
  <c r="H8"/>
  <c r="G8"/>
  <c r="F8"/>
  <c r="I7"/>
  <c r="H7"/>
  <c r="G7"/>
  <c r="F7"/>
  <c r="I6"/>
  <c r="H6"/>
  <c r="G6"/>
  <c r="F6"/>
  <c r="C21" i="9" l="1"/>
  <c r="C36" s="1"/>
  <c r="C38" s="1"/>
  <c r="C37"/>
  <c r="C39" s="1"/>
  <c r="K39" i="6"/>
  <c r="J9"/>
  <c r="L9"/>
  <c r="J13"/>
  <c r="L13"/>
  <c r="J17"/>
  <c r="L17"/>
  <c r="J21"/>
  <c r="L21"/>
  <c r="J24"/>
  <c r="L24"/>
  <c r="J28"/>
  <c r="L28"/>
  <c r="J32"/>
  <c r="L32"/>
  <c r="J36"/>
  <c r="L36"/>
  <c r="J7"/>
  <c r="K7"/>
  <c r="J11"/>
  <c r="L11"/>
  <c r="J15"/>
  <c r="L15"/>
  <c r="J19"/>
  <c r="L19"/>
  <c r="J23"/>
  <c r="L23"/>
  <c r="J26"/>
  <c r="L26"/>
  <c r="J30"/>
  <c r="L30"/>
  <c r="J34"/>
  <c r="L34"/>
  <c r="J38"/>
  <c r="L38"/>
  <c r="J6"/>
  <c r="L6"/>
  <c r="J8"/>
  <c r="L8"/>
  <c r="J10"/>
  <c r="K12"/>
  <c r="K14"/>
  <c r="K16"/>
  <c r="K18"/>
  <c r="K20"/>
  <c r="K22"/>
  <c r="K25"/>
  <c r="K27"/>
  <c r="K29"/>
  <c r="K31"/>
  <c r="K33"/>
  <c r="K35"/>
  <c r="K37"/>
  <c r="J39"/>
  <c r="L39"/>
  <c r="K6"/>
  <c r="L7"/>
  <c r="K8"/>
  <c r="K10"/>
  <c r="K9"/>
  <c r="L10"/>
  <c r="K11"/>
  <c r="J12"/>
  <c r="L12"/>
  <c r="K13"/>
  <c r="J14"/>
  <c r="L14"/>
  <c r="K15"/>
  <c r="J16"/>
  <c r="L16"/>
  <c r="K17"/>
  <c r="J18"/>
  <c r="L18"/>
  <c r="K19"/>
  <c r="J20"/>
  <c r="L20"/>
  <c r="K21"/>
  <c r="J22"/>
  <c r="L22"/>
  <c r="K23"/>
  <c r="K24"/>
  <c r="J25"/>
  <c r="L25"/>
  <c r="K26"/>
  <c r="J27"/>
  <c r="L27"/>
  <c r="K28"/>
  <c r="J29"/>
  <c r="L29"/>
  <c r="K30"/>
  <c r="J31"/>
  <c r="L31"/>
  <c r="K32"/>
  <c r="J33"/>
  <c r="L33"/>
  <c r="K34"/>
  <c r="J35"/>
  <c r="L35"/>
  <c r="K36"/>
  <c r="J37"/>
  <c r="L37"/>
  <c r="K38"/>
  <c r="C40" i="9" l="1"/>
  <c r="M37" i="6"/>
  <c r="M33"/>
  <c r="M29"/>
  <c r="M25"/>
  <c r="M22"/>
  <c r="M18"/>
  <c r="M14"/>
  <c r="M39"/>
  <c r="M35"/>
  <c r="M31"/>
  <c r="M27"/>
  <c r="M20"/>
  <c r="M16"/>
  <c r="M12"/>
  <c r="M10"/>
  <c r="M8"/>
  <c r="M38"/>
  <c r="M34"/>
  <c r="M30"/>
  <c r="M26"/>
  <c r="M23"/>
  <c r="M19"/>
  <c r="M15"/>
  <c r="M11"/>
  <c r="M36"/>
  <c r="M32"/>
  <c r="M28"/>
  <c r="M24"/>
  <c r="M21"/>
  <c r="M17"/>
  <c r="M13"/>
  <c r="M9"/>
  <c r="M7"/>
  <c r="M6"/>
  <c r="M114" i="2" l="1"/>
  <c r="L114"/>
  <c r="K114"/>
  <c r="J114"/>
  <c r="I114"/>
  <c r="H114"/>
  <c r="G114"/>
  <c r="F114"/>
  <c r="E114"/>
  <c r="D114"/>
  <c r="M103"/>
  <c r="L103"/>
  <c r="K103"/>
  <c r="J103"/>
  <c r="I103"/>
  <c r="H103"/>
  <c r="G103"/>
  <c r="F103"/>
  <c r="E103"/>
  <c r="D103"/>
  <c r="M100"/>
  <c r="L100"/>
  <c r="K100"/>
  <c r="J100"/>
  <c r="I100"/>
  <c r="H100"/>
  <c r="G100"/>
  <c r="F100"/>
  <c r="E100"/>
  <c r="D100"/>
  <c r="M99"/>
  <c r="L99"/>
  <c r="K99"/>
  <c r="J99"/>
  <c r="I99"/>
  <c r="H99"/>
  <c r="G99"/>
  <c r="F99"/>
  <c r="E99"/>
  <c r="D99"/>
  <c r="M98"/>
  <c r="L98"/>
  <c r="K98"/>
  <c r="J98"/>
  <c r="I98"/>
  <c r="H98"/>
  <c r="G98"/>
  <c r="F98"/>
  <c r="E98"/>
  <c r="D98"/>
  <c r="M87"/>
  <c r="M35" i="8" s="1"/>
  <c r="L87" i="2"/>
  <c r="L35" i="8" s="1"/>
  <c r="K87" i="2"/>
  <c r="K35" i="8" s="1"/>
  <c r="J87" i="2"/>
  <c r="J35" i="8" s="1"/>
  <c r="I87" i="2"/>
  <c r="I35" i="8" s="1"/>
  <c r="H87" i="2"/>
  <c r="H35" i="8" s="1"/>
  <c r="G87" i="2"/>
  <c r="G35" i="8" s="1"/>
  <c r="F87" i="2"/>
  <c r="F35" i="8" s="1"/>
  <c r="E87" i="2"/>
  <c r="E35" i="8" s="1"/>
  <c r="D87" i="2"/>
  <c r="D35" i="8" s="1"/>
  <c r="L86" i="2"/>
  <c r="K86"/>
  <c r="J86"/>
  <c r="I86"/>
  <c r="H86"/>
  <c r="G86"/>
  <c r="F86"/>
  <c r="E86"/>
  <c r="D86"/>
  <c r="M74"/>
  <c r="L74"/>
  <c r="K74"/>
  <c r="J74"/>
  <c r="I74"/>
  <c r="H74"/>
  <c r="G74"/>
  <c r="F74"/>
  <c r="E74"/>
  <c r="D74"/>
  <c r="M70"/>
  <c r="L70"/>
  <c r="K70"/>
  <c r="J70"/>
  <c r="I70"/>
  <c r="H70"/>
  <c r="G70"/>
  <c r="F70"/>
  <c r="E70"/>
  <c r="D70"/>
  <c r="M64"/>
  <c r="L64"/>
  <c r="K64"/>
  <c r="J64"/>
  <c r="I64"/>
  <c r="H64"/>
  <c r="G64"/>
  <c r="F64"/>
  <c r="E64"/>
  <c r="D64"/>
  <c r="M60"/>
  <c r="M27" i="8" s="1"/>
  <c r="L60" i="2"/>
  <c r="L27" i="8" s="1"/>
  <c r="K60" i="2"/>
  <c r="K27" i="8" s="1"/>
  <c r="J60" i="2"/>
  <c r="J27" i="8" s="1"/>
  <c r="I27"/>
  <c r="H60" i="2"/>
  <c r="H27" i="8" s="1"/>
  <c r="G60" i="2"/>
  <c r="G27" i="8" s="1"/>
  <c r="F60" i="2"/>
  <c r="F27" i="8" s="1"/>
  <c r="E60" i="2"/>
  <c r="E27" i="8" s="1"/>
  <c r="D60" i="2"/>
  <c r="D27" i="8" s="1"/>
  <c r="M48" i="2"/>
  <c r="L48"/>
  <c r="K48"/>
  <c r="J48"/>
  <c r="I48"/>
  <c r="H48"/>
  <c r="G48"/>
  <c r="F48"/>
  <c r="E48"/>
  <c r="D48"/>
  <c r="D45" s="1"/>
  <c r="C6" i="10" s="1"/>
  <c r="M45" i="2"/>
  <c r="L6" i="10" s="1"/>
  <c r="L45" i="2"/>
  <c r="K6" i="10" s="1"/>
  <c r="K45" i="2"/>
  <c r="J6" i="10" s="1"/>
  <c r="J45" i="2"/>
  <c r="I6" i="10" s="1"/>
  <c r="I45" i="2"/>
  <c r="H6" i="10" s="1"/>
  <c r="H45" i="2"/>
  <c r="G6" i="10" s="1"/>
  <c r="G45" i="2"/>
  <c r="F6" i="10" s="1"/>
  <c r="F45" i="2"/>
  <c r="E6" i="10" s="1"/>
  <c r="E45" i="2"/>
  <c r="D6" i="10" s="1"/>
  <c r="L44" i="2"/>
  <c r="L43" s="1"/>
  <c r="L117" s="1"/>
  <c r="J44"/>
  <c r="J43" s="1"/>
  <c r="J117" s="1"/>
  <c r="F44"/>
  <c r="F43" s="1"/>
  <c r="F117" s="1"/>
  <c r="M33"/>
  <c r="L33"/>
  <c r="K33"/>
  <c r="J33"/>
  <c r="I33"/>
  <c r="H33"/>
  <c r="G33"/>
  <c r="F33"/>
  <c r="E33"/>
  <c r="D33"/>
  <c r="M32"/>
  <c r="M31" i="8" s="1"/>
  <c r="M29" s="1"/>
  <c r="L32" i="2"/>
  <c r="L31" i="8" s="1"/>
  <c r="L29" s="1"/>
  <c r="K32" i="2"/>
  <c r="K31" i="8" s="1"/>
  <c r="K29" s="1"/>
  <c r="J32" i="2"/>
  <c r="J31" i="8" s="1"/>
  <c r="J29" s="1"/>
  <c r="I32" i="2"/>
  <c r="I31" i="8" s="1"/>
  <c r="I29" s="1"/>
  <c r="H32" i="2"/>
  <c r="H31" i="8" s="1"/>
  <c r="H29" s="1"/>
  <c r="G32" i="2"/>
  <c r="G31" i="8" s="1"/>
  <c r="G29" s="1"/>
  <c r="F32" i="2"/>
  <c r="F31" i="8" s="1"/>
  <c r="F29" s="1"/>
  <c r="E32" i="2"/>
  <c r="E31" i="8" s="1"/>
  <c r="E29" s="1"/>
  <c r="D32" i="2"/>
  <c r="D31" i="8" s="1"/>
  <c r="D29" s="1"/>
  <c r="M31" i="2"/>
  <c r="M22" s="1"/>
  <c r="L31"/>
  <c r="L22" s="1"/>
  <c r="K31"/>
  <c r="J31"/>
  <c r="J22" s="1"/>
  <c r="I31"/>
  <c r="I22" s="1"/>
  <c r="H31"/>
  <c r="H22" s="1"/>
  <c r="G31"/>
  <c r="G22" s="1"/>
  <c r="F31"/>
  <c r="F22" s="1"/>
  <c r="E31"/>
  <c r="E22" s="1"/>
  <c r="M27"/>
  <c r="M19" i="8" s="1"/>
  <c r="L27" i="2"/>
  <c r="L19" i="8" s="1"/>
  <c r="K27" i="2"/>
  <c r="K19" i="8" s="1"/>
  <c r="J27" i="2"/>
  <c r="J19" i="8" s="1"/>
  <c r="I27" i="2"/>
  <c r="I19" i="8" s="1"/>
  <c r="H27" i="2"/>
  <c r="H19" i="8" s="1"/>
  <c r="G27" i="2"/>
  <c r="G19" i="8" s="1"/>
  <c r="F27" i="2"/>
  <c r="F19" i="8" s="1"/>
  <c r="E27" i="2"/>
  <c r="E19" i="8" s="1"/>
  <c r="D27" i="2"/>
  <c r="D19" i="8" s="1"/>
  <c r="M18"/>
  <c r="M17" s="1"/>
  <c r="L18"/>
  <c r="L17" s="1"/>
  <c r="K18"/>
  <c r="K17" s="1"/>
  <c r="J18"/>
  <c r="J17" s="1"/>
  <c r="I18"/>
  <c r="I17" s="1"/>
  <c r="H18"/>
  <c r="H17" s="1"/>
  <c r="G18"/>
  <c r="G17" s="1"/>
  <c r="F18"/>
  <c r="F17" s="1"/>
  <c r="E18"/>
  <c r="E17" s="1"/>
  <c r="D18"/>
  <c r="M7" i="9"/>
  <c r="L7"/>
  <c r="K7"/>
  <c r="J7"/>
  <c r="I7"/>
  <c r="H7"/>
  <c r="G7"/>
  <c r="F7"/>
  <c r="E7"/>
  <c r="D7"/>
  <c r="K22" i="2"/>
  <c r="M19"/>
  <c r="L19"/>
  <c r="K19"/>
  <c r="J19"/>
  <c r="I19"/>
  <c r="H19"/>
  <c r="G19"/>
  <c r="F19"/>
  <c r="E19"/>
  <c r="D19"/>
  <c r="M6"/>
  <c r="M4" i="9" s="1"/>
  <c r="L6" i="2"/>
  <c r="L4" i="9" s="1"/>
  <c r="K6" i="2"/>
  <c r="K4" i="9" s="1"/>
  <c r="J6" i="2"/>
  <c r="J4" i="9" s="1"/>
  <c r="I6" i="2"/>
  <c r="I4" i="9" s="1"/>
  <c r="H6" i="2"/>
  <c r="H4" i="9" s="1"/>
  <c r="G6" i="2"/>
  <c r="G4" i="9" s="1"/>
  <c r="F6" i="2"/>
  <c r="F4" i="9" s="1"/>
  <c r="E6" i="2"/>
  <c r="E4" i="9" s="1"/>
  <c r="D6" i="2"/>
  <c r="D4" i="9" s="1"/>
  <c r="E44" i="2" l="1"/>
  <c r="G44"/>
  <c r="I44"/>
  <c r="I43" s="1"/>
  <c r="I117" s="1"/>
  <c r="K44"/>
  <c r="K43" s="1"/>
  <c r="K117" s="1"/>
  <c r="M44"/>
  <c r="M86"/>
  <c r="M43" s="1"/>
  <c r="E43"/>
  <c r="E117" s="1"/>
  <c r="G43"/>
  <c r="G117" s="1"/>
  <c r="H44"/>
  <c r="H43" s="1"/>
  <c r="H117" s="1"/>
  <c r="D44"/>
  <c r="I5"/>
  <c r="I107" s="1"/>
  <c r="I108" s="1"/>
  <c r="M5"/>
  <c r="M4" s="1"/>
  <c r="M116" s="1"/>
  <c r="I4"/>
  <c r="I116" s="1"/>
  <c r="I118" s="1"/>
  <c r="G5"/>
  <c r="G4" s="1"/>
  <c r="G116" s="1"/>
  <c r="G118" s="1"/>
  <c r="K5"/>
  <c r="K4" s="1"/>
  <c r="K116" s="1"/>
  <c r="E5"/>
  <c r="E4" s="1"/>
  <c r="E116" s="1"/>
  <c r="F5"/>
  <c r="F4" s="1"/>
  <c r="F116" s="1"/>
  <c r="H5"/>
  <c r="H4" s="1"/>
  <c r="H116" s="1"/>
  <c r="J5"/>
  <c r="J4" s="1"/>
  <c r="J116" s="1"/>
  <c r="J118" s="1"/>
  <c r="L5"/>
  <c r="L4" s="1"/>
  <c r="L116" s="1"/>
  <c r="L118" s="1"/>
  <c r="F118"/>
  <c r="F5" i="9"/>
  <c r="F16" i="8"/>
  <c r="G5" i="9"/>
  <c r="G3" s="1"/>
  <c r="G37" s="1"/>
  <c r="G39" s="1"/>
  <c r="G16" i="8"/>
  <c r="G5" s="1"/>
  <c r="G4" s="1"/>
  <c r="G50" s="1"/>
  <c r="H5" i="9"/>
  <c r="H3" s="1"/>
  <c r="H37" s="1"/>
  <c r="H39" s="1"/>
  <c r="H16" i="8"/>
  <c r="I5" i="9"/>
  <c r="I3" s="1"/>
  <c r="I37" s="1"/>
  <c r="I39" s="1"/>
  <c r="I16" i="8"/>
  <c r="I5" s="1"/>
  <c r="I4" s="1"/>
  <c r="I50" s="1"/>
  <c r="J5" i="9"/>
  <c r="J3" s="1"/>
  <c r="J37" s="1"/>
  <c r="J39" s="1"/>
  <c r="J16" i="8"/>
  <c r="K5" i="9"/>
  <c r="K3" s="1"/>
  <c r="K37" s="1"/>
  <c r="K39" s="1"/>
  <c r="K16" i="8"/>
  <c r="K5" s="1"/>
  <c r="K4" s="1"/>
  <c r="K50" s="1"/>
  <c r="L5" i="9"/>
  <c r="L3" s="1"/>
  <c r="L37" s="1"/>
  <c r="L39" s="1"/>
  <c r="L16" i="8"/>
  <c r="M5" i="9"/>
  <c r="M3" s="1"/>
  <c r="M37" s="1"/>
  <c r="M39" s="1"/>
  <c r="M16" i="8"/>
  <c r="M5" s="1"/>
  <c r="M4" s="1"/>
  <c r="M50" s="1"/>
  <c r="F3" i="9"/>
  <c r="F37" s="1"/>
  <c r="F39" s="1"/>
  <c r="F5" i="8"/>
  <c r="F4" s="1"/>
  <c r="F50" s="1"/>
  <c r="H5"/>
  <c r="H4" s="1"/>
  <c r="H50" s="1"/>
  <c r="J5"/>
  <c r="J4" s="1"/>
  <c r="J50" s="1"/>
  <c r="L5"/>
  <c r="L4" s="1"/>
  <c r="L50" s="1"/>
  <c r="E5" i="9"/>
  <c r="E16" i="8"/>
  <c r="E5" s="1"/>
  <c r="E4" s="1"/>
  <c r="E50" s="1"/>
  <c r="E3" i="9"/>
  <c r="E37" s="1"/>
  <c r="E39" s="1"/>
  <c r="D43" i="2"/>
  <c r="D117" s="1"/>
  <c r="D31"/>
  <c r="D17" i="8"/>
  <c r="D22" i="2"/>
  <c r="D5" s="1"/>
  <c r="D5" i="9"/>
  <c r="D3" s="1"/>
  <c r="D37" s="1"/>
  <c r="D39" s="1"/>
  <c r="D16" i="8"/>
  <c r="E118" i="2"/>
  <c r="K118"/>
  <c r="H107"/>
  <c r="H108" s="1"/>
  <c r="E16" i="9"/>
  <c r="E13" s="1"/>
  <c r="E25" i="8"/>
  <c r="E22" s="1"/>
  <c r="G16" i="9"/>
  <c r="G13" s="1"/>
  <c r="G25" i="8"/>
  <c r="G22" s="1"/>
  <c r="I16" i="9"/>
  <c r="I13" s="1"/>
  <c r="I25" i="8"/>
  <c r="I22" s="1"/>
  <c r="K16" i="9"/>
  <c r="K13" s="1"/>
  <c r="K25" i="8"/>
  <c r="K22" s="1"/>
  <c r="M16" i="9"/>
  <c r="M13" s="1"/>
  <c r="M25" i="8"/>
  <c r="M22" s="1"/>
  <c r="D7" i="10"/>
  <c r="E36" i="8"/>
  <c r="E34" s="1"/>
  <c r="F7" i="10"/>
  <c r="G36" i="8"/>
  <c r="G34" s="1"/>
  <c r="H7" i="10"/>
  <c r="I36" i="8"/>
  <c r="I34" s="1"/>
  <c r="J7" i="10"/>
  <c r="K36" i="8"/>
  <c r="K34" s="1"/>
  <c r="L7" i="10"/>
  <c r="M36" i="8"/>
  <c r="M34" s="1"/>
  <c r="E25" i="9"/>
  <c r="E24" s="1"/>
  <c r="E34" s="1"/>
  <c r="E26" i="8"/>
  <c r="G25" i="9"/>
  <c r="G24" s="1"/>
  <c r="G34" s="1"/>
  <c r="G26" i="8"/>
  <c r="I25" i="9"/>
  <c r="I24" s="1"/>
  <c r="I34" s="1"/>
  <c r="I26" i="8"/>
  <c r="K25" i="9"/>
  <c r="K24" s="1"/>
  <c r="K34" s="1"/>
  <c r="K26" i="8"/>
  <c r="M25" i="9"/>
  <c r="M24" s="1"/>
  <c r="M34" s="1"/>
  <c r="M26" i="8"/>
  <c r="E96" i="2"/>
  <c r="D5" i="10"/>
  <c r="G96" i="2"/>
  <c r="F5" i="10"/>
  <c r="I96" i="2"/>
  <c r="H5" i="10"/>
  <c r="K96" i="2"/>
  <c r="J5" i="10"/>
  <c r="M96" i="2"/>
  <c r="L5" i="10"/>
  <c r="E107" i="2"/>
  <c r="E108" s="1"/>
  <c r="M107"/>
  <c r="M108" s="1"/>
  <c r="D25" i="8"/>
  <c r="D22" s="1"/>
  <c r="D16" i="9"/>
  <c r="D13" s="1"/>
  <c r="F25" i="8"/>
  <c r="F22" s="1"/>
  <c r="F16" i="9"/>
  <c r="F13" s="1"/>
  <c r="H25" i="8"/>
  <c r="H22" s="1"/>
  <c r="H16" i="9"/>
  <c r="H13" s="1"/>
  <c r="J25" i="8"/>
  <c r="J22" s="1"/>
  <c r="J16" i="9"/>
  <c r="J13" s="1"/>
  <c r="L25" i="8"/>
  <c r="L22" s="1"/>
  <c r="L16" i="9"/>
  <c r="L13" s="1"/>
  <c r="D36" i="8"/>
  <c r="C7" i="10"/>
  <c r="F36" i="8"/>
  <c r="F34" s="1"/>
  <c r="E7" i="10"/>
  <c r="H36" i="8"/>
  <c r="H34" s="1"/>
  <c r="G7" i="10"/>
  <c r="J36" i="8"/>
  <c r="J34" s="1"/>
  <c r="I7" i="10"/>
  <c r="L36" i="8"/>
  <c r="L34" s="1"/>
  <c r="K7" i="10"/>
  <c r="D26" i="8"/>
  <c r="D25" i="9"/>
  <c r="D24" s="1"/>
  <c r="D34" s="1"/>
  <c r="F26" i="8"/>
  <c r="F25" i="9"/>
  <c r="F24" s="1"/>
  <c r="F34" s="1"/>
  <c r="H26" i="8"/>
  <c r="H25" i="9"/>
  <c r="H24" s="1"/>
  <c r="H34" s="1"/>
  <c r="J26" i="8"/>
  <c r="J25" i="9"/>
  <c r="J24" s="1"/>
  <c r="J34" s="1"/>
  <c r="L26" i="8"/>
  <c r="L25" i="9"/>
  <c r="L24" s="1"/>
  <c r="L34" s="1"/>
  <c r="D96" i="2"/>
  <c r="C5" i="10"/>
  <c r="F96" i="2"/>
  <c r="E5" i="10"/>
  <c r="H96" i="2"/>
  <c r="G5" i="10"/>
  <c r="J96" i="2"/>
  <c r="I5" i="10"/>
  <c r="L96" i="2"/>
  <c r="K5" i="10"/>
  <c r="D34" i="8"/>
  <c r="G73" i="2"/>
  <c r="G110"/>
  <c r="E111"/>
  <c r="G111"/>
  <c r="I111"/>
  <c r="K111"/>
  <c r="D111"/>
  <c r="F111"/>
  <c r="H111"/>
  <c r="J111"/>
  <c r="L111"/>
  <c r="M117" l="1"/>
  <c r="M111"/>
  <c r="E97"/>
  <c r="H118"/>
  <c r="M118"/>
  <c r="M110"/>
  <c r="M112" s="1"/>
  <c r="M97"/>
  <c r="M73"/>
  <c r="L4" i="10"/>
  <c r="G107" i="2"/>
  <c r="G108" s="1"/>
  <c r="L107"/>
  <c r="L108" s="1"/>
  <c r="F110"/>
  <c r="I73"/>
  <c r="J4" i="10"/>
  <c r="J73" i="2"/>
  <c r="K97"/>
  <c r="H4" i="10"/>
  <c r="J107" i="2"/>
  <c r="J108" s="1"/>
  <c r="E4" i="10"/>
  <c r="E8" s="1"/>
  <c r="F97" i="2"/>
  <c r="F73"/>
  <c r="K110"/>
  <c r="K112" s="1"/>
  <c r="K73"/>
  <c r="K107"/>
  <c r="K108" s="1"/>
  <c r="I4" i="10"/>
  <c r="F107" i="2"/>
  <c r="F108" s="1"/>
  <c r="J110"/>
  <c r="J112" s="1"/>
  <c r="J97"/>
  <c r="I110"/>
  <c r="I112" s="1"/>
  <c r="I97"/>
  <c r="L110"/>
  <c r="L112" s="1"/>
  <c r="H110"/>
  <c r="L97"/>
  <c r="H97"/>
  <c r="L73"/>
  <c r="H73"/>
  <c r="E110"/>
  <c r="G97"/>
  <c r="E73"/>
  <c r="F4" i="10"/>
  <c r="D4"/>
  <c r="K4"/>
  <c r="G4"/>
  <c r="G8" s="1"/>
  <c r="D5" i="8"/>
  <c r="D4" s="1"/>
  <c r="D50" s="1"/>
  <c r="L21" i="9"/>
  <c r="L36" s="1"/>
  <c r="L38" s="1"/>
  <c r="L40" s="1"/>
  <c r="J21"/>
  <c r="J36" s="1"/>
  <c r="J38" s="1"/>
  <c r="J40" s="1"/>
  <c r="H21"/>
  <c r="H36" s="1"/>
  <c r="H38" s="1"/>
  <c r="H40" s="1"/>
  <c r="F21"/>
  <c r="F36" s="1"/>
  <c r="F38" s="1"/>
  <c r="F40" s="1"/>
  <c r="M21"/>
  <c r="M36" s="1"/>
  <c r="M38" s="1"/>
  <c r="M40" s="1"/>
  <c r="K21"/>
  <c r="K36" s="1"/>
  <c r="K38" s="1"/>
  <c r="K40" s="1"/>
  <c r="I21"/>
  <c r="I36" s="1"/>
  <c r="I38" s="1"/>
  <c r="I40" s="1"/>
  <c r="G21"/>
  <c r="G36" s="1"/>
  <c r="G38" s="1"/>
  <c r="G40" s="1"/>
  <c r="E21"/>
  <c r="E36" s="1"/>
  <c r="E38" s="1"/>
  <c r="E40" s="1"/>
  <c r="D4" i="2"/>
  <c r="D73"/>
  <c r="D21" i="9"/>
  <c r="C4" i="10"/>
  <c r="C8" s="1"/>
  <c r="D107" i="2"/>
  <c r="D108" s="1"/>
  <c r="L8" i="10"/>
  <c r="J8"/>
  <c r="H8"/>
  <c r="F8"/>
  <c r="D8"/>
  <c r="K13"/>
  <c r="I13"/>
  <c r="G13"/>
  <c r="E13"/>
  <c r="C13"/>
  <c r="L13"/>
  <c r="L9" s="1"/>
  <c r="L10" s="1"/>
  <c r="J13"/>
  <c r="H13"/>
  <c r="H9" s="1"/>
  <c r="H10" s="1"/>
  <c r="F13"/>
  <c r="D13"/>
  <c r="D9" s="1"/>
  <c r="D10" s="1"/>
  <c r="L21" i="8"/>
  <c r="J21"/>
  <c r="H21"/>
  <c r="F21"/>
  <c r="D21"/>
  <c r="M21"/>
  <c r="K21"/>
  <c r="I21"/>
  <c r="G21"/>
  <c r="E21"/>
  <c r="K8" i="10"/>
  <c r="I8"/>
  <c r="H112" i="2"/>
  <c r="G112"/>
  <c r="F112"/>
  <c r="E112"/>
  <c r="F9" i="10" l="1"/>
  <c r="F10" s="1"/>
  <c r="J9"/>
  <c r="J10" s="1"/>
  <c r="D36" i="9"/>
  <c r="D38" s="1"/>
  <c r="D40" s="1"/>
  <c r="D116" i="2"/>
  <c r="D118" s="1"/>
  <c r="D110"/>
  <c r="D112" s="1"/>
  <c r="D97"/>
  <c r="E20" i="8"/>
  <c r="E51" s="1"/>
  <c r="E52" s="1"/>
  <c r="E28"/>
  <c r="E37" s="1"/>
  <c r="E42" s="1"/>
  <c r="E38" s="1"/>
  <c r="I20"/>
  <c r="I51" s="1"/>
  <c r="I52" s="1"/>
  <c r="I28"/>
  <c r="I37" s="1"/>
  <c r="I42" s="1"/>
  <c r="I38" s="1"/>
  <c r="M20"/>
  <c r="M51" s="1"/>
  <c r="M52" s="1"/>
  <c r="M28"/>
  <c r="M37" s="1"/>
  <c r="M42" s="1"/>
  <c r="M38" s="1"/>
  <c r="F20"/>
  <c r="F51" s="1"/>
  <c r="F52" s="1"/>
  <c r="F28"/>
  <c r="F37" s="1"/>
  <c r="F42" s="1"/>
  <c r="F38" s="1"/>
  <c r="J20"/>
  <c r="J51" s="1"/>
  <c r="J52" s="1"/>
  <c r="J28"/>
  <c r="J37" s="1"/>
  <c r="J42" s="1"/>
  <c r="J38" s="1"/>
  <c r="C9" i="10"/>
  <c r="C10" s="1"/>
  <c r="E9"/>
  <c r="E10" s="1"/>
  <c r="G9"/>
  <c r="G10" s="1"/>
  <c r="I9"/>
  <c r="I10" s="1"/>
  <c r="K9"/>
  <c r="K10" s="1"/>
  <c r="G20" i="8"/>
  <c r="G51" s="1"/>
  <c r="G52" s="1"/>
  <c r="G28"/>
  <c r="G37" s="1"/>
  <c r="G42" s="1"/>
  <c r="G38" s="1"/>
  <c r="K20"/>
  <c r="K51" s="1"/>
  <c r="K52" s="1"/>
  <c r="K28"/>
  <c r="K37" s="1"/>
  <c r="K42" s="1"/>
  <c r="K38" s="1"/>
  <c r="D20"/>
  <c r="D51" s="1"/>
  <c r="D52" s="1"/>
  <c r="D28"/>
  <c r="D37" s="1"/>
  <c r="D42" s="1"/>
  <c r="D38" s="1"/>
  <c r="H20"/>
  <c r="H51" s="1"/>
  <c r="H52" s="1"/>
  <c r="H28"/>
  <c r="H37" s="1"/>
  <c r="H42" s="1"/>
  <c r="H38" s="1"/>
  <c r="L20"/>
  <c r="L51" s="1"/>
  <c r="L52" s="1"/>
  <c r="L28"/>
  <c r="L37" s="1"/>
  <c r="L42" s="1"/>
  <c r="L38" s="1"/>
</calcChain>
</file>

<file path=xl/comments1.xml><?xml version="1.0" encoding="utf-8"?>
<comments xmlns="http://schemas.openxmlformats.org/spreadsheetml/2006/main">
  <authors>
    <author>jgalindo</author>
  </authors>
  <commentList>
    <comment ref="B32" authorId="0">
      <text>
        <r>
          <rPr>
            <sz val="8"/>
            <color indexed="81"/>
            <rFont val="Tahoma"/>
            <charset val="1"/>
          </rPr>
          <t>Restar del valor del crédito los amortizaciones para determinar el saldo de la vigencia.</t>
        </r>
      </text>
    </comment>
  </commentList>
</comments>
</file>

<file path=xl/sharedStrings.xml><?xml version="1.0" encoding="utf-8"?>
<sst xmlns="http://schemas.openxmlformats.org/spreadsheetml/2006/main" count="737" uniqueCount="558">
  <si>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</si>
  <si>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</si>
  <si>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</si>
  <si>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</si>
  <si>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</si>
  <si>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</si>
  <si>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</si>
  <si>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</si>
  <si>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</si>
  <si>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</si>
  <si>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</si>
  <si>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</si>
  <si>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</si>
  <si>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</si>
  <si>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</si>
  <si>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</si>
  <si>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</si>
  <si>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</si>
  <si>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</si>
  <si>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</si>
  <si>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</si>
  <si>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</si>
  <si>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</si>
  <si>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</si>
  <si>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</si>
  <si>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</si>
  <si>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</si>
  <si>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</si>
  <si>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</si>
  <si>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</si>
  <si>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</si>
  <si>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</si>
  <si>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</si>
  <si>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</si>
  <si>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</si>
  <si>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</si>
  <si>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</si>
  <si>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</si>
  <si>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</si>
  <si>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</si>
  <si>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</si>
  <si>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</si>
  <si>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</si>
  <si>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</si>
  <si>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</si>
  <si>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</si>
  <si>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</si>
  <si>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</si>
  <si>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</si>
  <si>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</si>
  <si>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</si>
  <si>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</si>
  <si>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</si>
  <si>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</si>
  <si>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</si>
  <si>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</si>
  <si>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</si>
  <si>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</si>
  <si>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</si>
  <si>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</si>
  <si>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</si>
  <si>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</si>
  <si>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</si>
  <si>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</si>
  <si>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</si>
  <si>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</si>
  <si>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</si>
  <si>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</si>
  <si>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</si>
  <si>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</si>
  <si>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</si>
  <si>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</si>
  <si>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</si>
  <si>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</si>
  <si>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</si>
  <si>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</si>
  <si>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</si>
  <si>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</si>
  <si>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</si>
  <si>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</si>
  <si>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</si>
  <si>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</si>
  <si>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</si>
  <si>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</si>
  <si>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</si>
  <si>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</si>
  <si>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</si>
  <si>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</si>
  <si>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</si>
  <si>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</si>
  <si>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</si>
  <si>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</si>
  <si>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</si>
  <si>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</si>
  <si>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</si>
  <si>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</si>
  <si>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</si>
  <si>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</si>
  <si>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</si>
  <si>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</si>
  <si>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</si>
  <si>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</si>
  <si>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</si>
  <si>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</si>
  <si>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</si>
  <si>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</si>
  <si>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</si>
  <si>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</si>
  <si>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</si>
  <si>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</si>
  <si>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</si>
  <si>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</si>
  <si>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</si>
  <si>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</si>
  <si>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</si>
  <si>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</si>
  <si>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</si>
  <si>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</si>
  <si>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</si>
  <si>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</si>
  <si>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</si>
  <si>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</si>
  <si>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</si>
  <si>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</si>
  <si>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</si>
  <si>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</si>
  <si>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</si>
  <si>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</si>
  <si>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</si>
  <si>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</si>
  <si>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</si>
  <si>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</si>
  <si>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</si>
  <si>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</si>
  <si>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</si>
  <si>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</si>
  <si>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</si>
  <si>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</si>
  <si>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</si>
  <si>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</si>
  <si>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</si>
  <si>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</si>
  <si>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</si>
  <si>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</si>
  <si>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</si>
  <si>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</si>
  <si>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</si>
  <si>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</si>
  <si>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</si>
  <si>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</si>
  <si>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</si>
  <si>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</si>
  <si>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</si>
  <si>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</si>
  <si>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</si>
  <si>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</si>
  <si>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</si>
  <si>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</si>
  <si>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</si>
  <si>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</si>
  <si>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</si>
  <si>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</si>
  <si>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</si>
  <si>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</si>
  <si>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</si>
  <si>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</si>
  <si>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</si>
  <si>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</si>
  <si>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</si>
  <si>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</si>
  <si>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</si>
  <si>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</si>
  <si>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</si>
  <si>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</si>
  <si>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</si>
  <si>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</si>
  <si>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</si>
  <si>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</si>
  <si>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</si>
  <si>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</si>
  <si>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</si>
  <si>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</si>
  <si>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</si>
  <si>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</si>
  <si>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</si>
  <si>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</si>
  <si>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</si>
  <si>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</si>
  <si>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</si>
  <si>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</si>
  <si>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</si>
  <si>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</si>
  <si>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</si>
  <si>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</si>
  <si>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</si>
  <si>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</si>
  <si>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</si>
  <si>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</si>
  <si>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</si>
  <si>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</si>
  <si>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</si>
  <si>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</si>
  <si>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</si>
  <si>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</si>
  <si>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</si>
  <si>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</si>
  <si>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</si>
  <si>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</si>
  <si>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</si>
  <si>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</si>
  <si>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</si>
  <si>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</si>
  <si>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</si>
  <si>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</si>
  <si>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</si>
  <si>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</si>
  <si>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</si>
  <si>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</si>
  <si>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</si>
  <si>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</si>
  <si>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</si>
  <si>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</si>
  <si>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</si>
  <si>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</si>
  <si>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</si>
  <si>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</si>
  <si>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</si>
  <si>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</si>
  <si>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</si>
  <si>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</si>
  <si>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</si>
  <si>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</si>
  <si>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</si>
  <si>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</si>
  <si>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</si>
  <si>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</si>
  <si>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</si>
  <si>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</si>
  <si>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</si>
  <si>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</si>
  <si>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</si>
  <si>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</si>
  <si>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</si>
  <si>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</si>
  <si>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</si>
  <si>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</si>
  <si>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</si>
  <si>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</si>
  <si>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</si>
  <si>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</si>
  <si>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</si>
  <si>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</si>
  <si>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</si>
  <si>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</si>
  <si>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</si>
  <si>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</si>
  <si>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</si>
  <si>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</si>
  <si>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</si>
  <si>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</si>
  <si>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</si>
  <si>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</si>
  <si>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</si>
  <si>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</si>
  <si>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</si>
  <si>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</si>
  <si>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</si>
  <si>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</si>
  <si>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</si>
  <si>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</si>
  <si>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</si>
  <si>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</si>
  <si>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</si>
  <si>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</si>
  <si>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</si>
  <si>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</si>
  <si>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</si>
  <si>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</si>
  <si>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</si>
  <si>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</si>
  <si>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</si>
  <si>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</si>
  <si>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</si>
  <si>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</si>
  <si>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A2007</t>
  </si>
  <si>
    <t>A2008</t>
  </si>
  <si>
    <t>A2009</t>
  </si>
  <si>
    <t>Millones de pesos</t>
  </si>
  <si>
    <t>Corrientes *</t>
  </si>
  <si>
    <t>Constantes</t>
  </si>
  <si>
    <t>Tasas de Crecimiento</t>
  </si>
  <si>
    <t>Participaciones</t>
  </si>
  <si>
    <t>CUENTA</t>
  </si>
  <si>
    <t>2007</t>
  </si>
  <si>
    <t>2008</t>
  </si>
  <si>
    <t>2009</t>
  </si>
  <si>
    <t>2008/2007</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</si>
  <si>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</si>
  <si>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</si>
  <si>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</si>
  <si>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</si>
  <si>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</si>
  <si>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</si>
  <si>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</si>
  <si>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</si>
  <si>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</si>
  <si>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</si>
  <si>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</si>
  <si>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</si>
  <si>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</si>
  <si>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</si>
  <si>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</si>
  <si>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</si>
  <si>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</si>
  <si>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</si>
  <si>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</si>
  <si>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</si>
  <si>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</si>
  <si>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</si>
  <si>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</si>
  <si>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</si>
  <si>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</si>
  <si>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</si>
  <si>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</si>
  <si>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</si>
  <si>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</si>
  <si>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</si>
  <si>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</si>
  <si>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</si>
  <si>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</si>
  <si>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</si>
  <si>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</si>
  <si>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</si>
  <si>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http://www.dnp.gov.co/PortalWeb/Programas/DesarrolloTerritorial/FinanzasPúblicasTerritoriales/EjecucionesPresupuestales/tabid/369/Default.aspx</t>
  </si>
  <si>
    <t>A2010</t>
  </si>
  <si>
    <t>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</si>
  <si>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</si>
  <si>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</si>
  <si>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</si>
  <si>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</si>
  <si>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</si>
  <si>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</si>
  <si>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</si>
  <si>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</si>
  <si>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</si>
  <si>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</si>
  <si>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</si>
  <si>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</si>
  <si>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</si>
  <si>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</si>
  <si>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</si>
  <si>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</si>
  <si>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</si>
  <si>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</si>
  <si>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</si>
  <si>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</si>
  <si>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</si>
  <si>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</si>
  <si>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</si>
  <si>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</si>
  <si>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</si>
  <si>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</si>
  <si>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</si>
  <si>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</si>
  <si>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</si>
  <si>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</si>
  <si>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</si>
  <si>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</si>
  <si>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</si>
  <si>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</si>
  <si>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</si>
  <si>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</si>
  <si>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</si>
  <si>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</si>
  <si>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</si>
  <si>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</si>
  <si>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</si>
  <si>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</si>
  <si>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</si>
  <si>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</si>
  <si>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</si>
  <si>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</si>
  <si>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</si>
  <si>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</si>
  <si>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</si>
  <si>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</si>
  <si>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</si>
  <si>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</si>
  <si>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</si>
  <si>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</si>
  <si>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</si>
  <si>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</si>
  <si>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</si>
  <si>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</si>
  <si>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</si>
  <si>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</si>
  <si>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</si>
  <si>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</si>
  <si>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</si>
  <si>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</si>
  <si>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</si>
  <si>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</si>
  <si>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</si>
  <si>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</si>
  <si>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</si>
  <si>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</si>
  <si>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</si>
  <si>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</si>
  <si>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</si>
  <si>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</si>
  <si>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</si>
  <si>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</si>
  <si>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</si>
  <si>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</si>
  <si>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</si>
  <si>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</si>
  <si>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</si>
  <si>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</si>
  <si>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</si>
  <si>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</si>
  <si>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</si>
  <si>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</si>
  <si>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</si>
  <si>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</si>
  <si>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</si>
  <si>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</si>
  <si>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</si>
  <si>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</si>
  <si>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</si>
  <si>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</si>
  <si>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</si>
  <si>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</si>
  <si>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</si>
  <si>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</si>
  <si>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</si>
  <si>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</si>
  <si>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</si>
  <si>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</si>
  <si>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</si>
  <si>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</si>
  <si>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</si>
  <si>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</si>
  <si>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</si>
  <si>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</si>
  <si>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</si>
  <si>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</si>
  <si>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</si>
  <si>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</si>
  <si>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</si>
  <si>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</si>
  <si>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</si>
  <si>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</si>
  <si>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</si>
  <si>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</si>
  <si>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</si>
  <si>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</si>
  <si>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</si>
  <si>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</si>
  <si>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</si>
  <si>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</si>
  <si>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</si>
  <si>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</si>
  <si>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</si>
  <si>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</si>
  <si>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</si>
  <si>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</si>
  <si>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</si>
  <si>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</si>
  <si>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</si>
  <si>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</si>
  <si>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</si>
  <si>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</si>
  <si>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</si>
  <si>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</si>
  <si>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</si>
  <si>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</si>
  <si>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</si>
  <si>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</si>
  <si>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</si>
  <si>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Capacidad de Endeudamiento 2011 (millones de pesos)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</si>
  <si>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</si>
  <si>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</si>
  <si>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</si>
  <si>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</si>
  <si>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</si>
  <si>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</si>
  <si>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</si>
  <si>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</si>
  <si>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</si>
  <si>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</si>
  <si>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</si>
  <si>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</si>
  <si>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</si>
  <si>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</si>
  <si>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</si>
  <si>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</si>
  <si>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</si>
  <si>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</si>
  <si>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</si>
  <si>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</si>
  <si>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</si>
  <si>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</si>
  <si>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</si>
  <si>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</si>
  <si>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</si>
  <si>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</si>
  <si>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</si>
  <si>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</si>
  <si>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</si>
  <si>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</si>
  <si>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</si>
  <si>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</si>
  <si>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</si>
  <si>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</si>
  <si>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</si>
  <si>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</si>
  <si>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</si>
  <si>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</si>
  <si>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</si>
  <si>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</si>
  <si>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</si>
  <si>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</si>
  <si>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</si>
  <si>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</si>
  <si>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</si>
  <si>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</si>
  <si>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</si>
  <si>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</si>
  <si>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</si>
  <si>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http://www.dnp.gov.co/PortalWeb/Programas/DesarrolloTerritorial/FinanzasP%C3%BAblicasTerritoriales/EjecucionesPresupuestales.aspx</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</si>
  <si>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</si>
  <si>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</si>
  <si>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</si>
  <si>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</si>
  <si>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</si>
  <si>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</si>
  <si>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</si>
  <si>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</si>
  <si>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</si>
  <si>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</si>
  <si>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</si>
  <si>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</si>
  <si>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</si>
  <si>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</si>
  <si>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</si>
  <si>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</si>
  <si>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</si>
  <si>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</si>
  <si>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</si>
  <si>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</si>
  <si>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</si>
  <si>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</si>
  <si>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</si>
  <si>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</si>
  <si>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</si>
  <si>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HUILA</t>
  </si>
  <si>
    <t>TESALIA</t>
  </si>
  <si>
    <t>800097176-6</t>
  </si>
</sst>
</file>

<file path=xl/styles.xml><?xml version="1.0" encoding="utf-8"?>
<styleSheet xmlns="http://schemas.openxmlformats.org/spreadsheetml/2006/main">
  <numFmts count="28">
    <numFmt numFmtId="43" formatCode="_(* #,##0.00_);_(* \(#,##0.00\);_(* &quot;-&quot;??_);_(@_)"/>
    <numFmt numFmtId="164" formatCode="#,##0.000"/>
    <numFmt numFmtId="165" formatCode="_(* #,##0.000_);_(* \(#,##0.000\);_(* &quot;-&quot;??_);_(@_)"/>
    <numFmt numFmtId="166" formatCode="_ * #,##0_ ;_ * \-#,##0_ ;_ * &quot;-&quot;??_ ;_ @_ "/>
    <numFmt numFmtId="167" formatCode="0.00000"/>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s>
  <fonts count="62">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u/>
      <sz val="10"/>
      <color theme="10"/>
      <name val="Arial Narrow"/>
      <family val="2"/>
    </font>
    <font>
      <b/>
      <sz val="11"/>
      <color indexed="9"/>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11"/>
      <color theme="8" tint="0.59999389629810485"/>
      <name val="Arial Narrow"/>
      <family val="2"/>
    </font>
    <font>
      <sz val="8"/>
      <color indexed="8"/>
      <name val="Arial Narrow"/>
      <family val="2"/>
    </font>
    <font>
      <u/>
      <sz val="9"/>
      <color theme="10"/>
      <name val="Arial Narrow"/>
      <family val="2"/>
    </font>
    <font>
      <b/>
      <sz val="8"/>
      <name val="Arial Narrow"/>
      <family val="2"/>
    </font>
    <font>
      <b/>
      <sz val="10"/>
      <color indexed="8"/>
      <name val="Arial Narrow"/>
      <family val="2"/>
    </font>
    <font>
      <b/>
      <sz val="10.5"/>
      <color indexed="9"/>
      <name val="Arial Narrow"/>
      <family val="2"/>
    </font>
    <font>
      <sz val="8"/>
      <color indexed="81"/>
      <name val="Tahoma"/>
      <charset val="1"/>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s>
  <cellStyleXfs count="222">
    <xf numFmtId="0" fontId="0" fillId="0" borderId="0"/>
    <xf numFmtId="43" fontId="26"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26" fillId="0" borderId="0" applyFont="0" applyFill="0" applyBorder="0" applyAlignment="0" applyProtection="0"/>
    <xf numFmtId="0" fontId="18" fillId="0" borderId="0"/>
    <xf numFmtId="0" fontId="18" fillId="0" borderId="0"/>
    <xf numFmtId="0" fontId="19" fillId="0" borderId="0"/>
    <xf numFmtId="9" fontId="26"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Alignment="0" applyProtection="0">
      <alignment vertical="top"/>
      <protection locked="0"/>
    </xf>
    <xf numFmtId="0" fontId="19" fillId="0" borderId="0"/>
    <xf numFmtId="164" fontId="18" fillId="0" borderId="0" applyFont="0" applyFill="0" applyBorder="0" applyAlignment="0" applyProtection="0"/>
    <xf numFmtId="164" fontId="18" fillId="0" borderId="0" applyFont="0" applyFill="0" applyBorder="0" applyAlignment="0" applyProtection="0"/>
    <xf numFmtId="0" fontId="42" fillId="0" borderId="0"/>
    <xf numFmtId="169" fontId="18" fillId="0" borderId="0" applyFont="0" applyFill="0" applyBorder="0" applyAlignment="0" applyProtection="0"/>
    <xf numFmtId="0" fontId="19" fillId="0" borderId="0"/>
    <xf numFmtId="164" fontId="18" fillId="0" borderId="0" applyFont="0" applyFill="0" applyBorder="0" applyAlignment="0" applyProtection="0"/>
    <xf numFmtId="164" fontId="18" fillId="0" borderId="0" applyFont="0" applyFill="0" applyBorder="0" applyAlignment="0" applyProtection="0"/>
    <xf numFmtId="0" fontId="44" fillId="0" borderId="0" applyProtection="0"/>
    <xf numFmtId="0" fontId="44" fillId="0" borderId="0"/>
    <xf numFmtId="0" fontId="44" fillId="0" borderId="29" applyProtection="0"/>
    <xf numFmtId="2" fontId="44" fillId="0" borderId="0" applyProtection="0"/>
    <xf numFmtId="4" fontId="44" fillId="0" borderId="0" applyProtection="0"/>
    <xf numFmtId="0" fontId="45" fillId="0" borderId="0" applyProtection="0"/>
    <xf numFmtId="0" fontId="46" fillId="0" borderId="0" applyProtection="0"/>
    <xf numFmtId="175" fontId="44" fillId="0" borderId="0" applyProtection="0"/>
    <xf numFmtId="0" fontId="44" fillId="0" borderId="0"/>
    <xf numFmtId="0" fontId="19" fillId="0" borderId="0">
      <alignment vertical="top"/>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8" fillId="0" borderId="0" applyNumberFormat="0" applyFill="0" applyBorder="0" applyProtection="0">
      <alignment horizontal="left"/>
    </xf>
    <xf numFmtId="177" fontId="48" fillId="0" borderId="0">
      <protection locked="0"/>
    </xf>
    <xf numFmtId="178" fontId="43" fillId="0" borderId="0" applyFont="0" applyFill="0" applyBorder="0" applyAlignment="0" applyProtection="0"/>
    <xf numFmtId="177" fontId="48" fillId="0" borderId="0">
      <protection locked="0"/>
    </xf>
    <xf numFmtId="177" fontId="48" fillId="0" borderId="0">
      <protection locked="0"/>
    </xf>
    <xf numFmtId="0" fontId="18" fillId="0" borderId="0">
      <protection locked="0"/>
    </xf>
    <xf numFmtId="179" fontId="18" fillId="0" borderId="0">
      <protection locked="0"/>
    </xf>
    <xf numFmtId="179" fontId="18" fillId="0" borderId="0">
      <protection locked="0"/>
    </xf>
    <xf numFmtId="179" fontId="18" fillId="0" borderId="0">
      <protection locked="0"/>
    </xf>
    <xf numFmtId="179" fontId="18" fillId="0" borderId="0">
      <protection locked="0"/>
    </xf>
    <xf numFmtId="180" fontId="48" fillId="0" borderId="0">
      <protection locked="0"/>
    </xf>
    <xf numFmtId="181" fontId="43" fillId="0" borderId="0" applyFont="0" applyFill="0" applyBorder="0" applyAlignment="0" applyProtection="0"/>
    <xf numFmtId="180" fontId="48" fillId="0" borderId="0">
      <protection locked="0"/>
    </xf>
    <xf numFmtId="180" fontId="48" fillId="0" borderId="0">
      <protection locked="0"/>
    </xf>
    <xf numFmtId="0" fontId="18" fillId="0" borderId="0">
      <protection locked="0"/>
    </xf>
    <xf numFmtId="182" fontId="18" fillId="0" borderId="0">
      <protection locked="0"/>
    </xf>
    <xf numFmtId="182" fontId="18" fillId="0" borderId="0">
      <protection locked="0"/>
    </xf>
    <xf numFmtId="182" fontId="18" fillId="0" borderId="0">
      <protection locked="0"/>
    </xf>
    <xf numFmtId="182" fontId="1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16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183" fontId="48" fillId="0" borderId="0">
      <protection locked="0"/>
    </xf>
    <xf numFmtId="183" fontId="48" fillId="0" borderId="0">
      <protection locked="0"/>
    </xf>
    <xf numFmtId="183" fontId="48" fillId="0" borderId="0">
      <protection locked="0"/>
    </xf>
    <xf numFmtId="183" fontId="47" fillId="0" borderId="0">
      <protection locked="0"/>
    </xf>
    <xf numFmtId="183" fontId="49" fillId="0" borderId="0">
      <protection locked="0"/>
    </xf>
    <xf numFmtId="183" fontId="47" fillId="0" borderId="0">
      <protection locked="0"/>
    </xf>
    <xf numFmtId="183" fontId="4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50" fillId="0" borderId="0"/>
    <xf numFmtId="176" fontId="50" fillId="0" borderId="0"/>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8" fillId="0" borderId="0" applyFont="0" applyFill="0" applyBorder="0" applyAlignment="0" applyProtection="0"/>
    <xf numFmtId="0" fontId="50" fillId="0" borderId="0"/>
    <xf numFmtId="176" fontId="50" fillId="0" borderId="0"/>
    <xf numFmtId="0" fontId="50" fillId="0" borderId="0"/>
    <xf numFmtId="176" fontId="50" fillId="0" borderId="0"/>
    <xf numFmtId="185" fontId="18" fillId="0" borderId="0">
      <protection locked="0"/>
    </xf>
    <xf numFmtId="185" fontId="18" fillId="0" borderId="0">
      <protection locked="0"/>
    </xf>
    <xf numFmtId="185" fontId="18" fillId="0" borderId="0">
      <protection locked="0"/>
    </xf>
    <xf numFmtId="185"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0" fontId="18" fillId="0" borderId="0"/>
    <xf numFmtId="187" fontId="48" fillId="0" borderId="0">
      <protection locked="0"/>
    </xf>
    <xf numFmtId="187" fontId="48" fillId="0" borderId="0">
      <protection locked="0"/>
    </xf>
    <xf numFmtId="187" fontId="48" fillId="0" borderId="0">
      <protection locked="0"/>
    </xf>
    <xf numFmtId="187" fontId="48" fillId="0" borderId="0">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Alignment="0" applyProtection="0"/>
    <xf numFmtId="0" fontId="51" fillId="0" borderId="30"/>
    <xf numFmtId="176" fontId="51" fillId="0" borderId="30"/>
    <xf numFmtId="188" fontId="18" fillId="0" borderId="0">
      <protection locked="0"/>
    </xf>
    <xf numFmtId="188" fontId="18" fillId="0" borderId="0">
      <protection locked="0"/>
    </xf>
    <xf numFmtId="188" fontId="18" fillId="0" borderId="0">
      <protection locked="0"/>
    </xf>
    <xf numFmtId="188" fontId="18" fillId="0" borderId="0">
      <protection locked="0"/>
    </xf>
    <xf numFmtId="9" fontId="18" fillId="0" borderId="0" applyFont="0" applyFill="0" applyBorder="0" applyAlignment="0" applyProtection="0"/>
    <xf numFmtId="9" fontId="18" fillId="0" borderId="0" applyFont="0" applyFill="0" applyBorder="0" applyAlignment="0" applyProtection="0"/>
    <xf numFmtId="0" fontId="48" fillId="0" borderId="0">
      <protection locked="0"/>
    </xf>
    <xf numFmtId="0" fontId="48" fillId="0" borderId="0">
      <protection locked="0"/>
    </xf>
    <xf numFmtId="176" fontId="48" fillId="0" borderId="0">
      <protection locked="0"/>
    </xf>
    <xf numFmtId="0" fontId="48" fillId="0" borderId="0">
      <protection locked="0"/>
    </xf>
    <xf numFmtId="189" fontId="52" fillId="0" borderId="0">
      <protection locked="0"/>
    </xf>
    <xf numFmtId="0" fontId="50" fillId="0" borderId="0"/>
    <xf numFmtId="176" fontId="50" fillId="0" borderId="0"/>
    <xf numFmtId="39" fontId="43" fillId="0" borderId="31" applyFill="0">
      <alignment horizontal="left"/>
    </xf>
    <xf numFmtId="39" fontId="43" fillId="0" borderId="31" applyFill="0">
      <alignment horizontal="left"/>
    </xf>
    <xf numFmtId="39" fontId="43" fillId="0" borderId="31" applyFill="0">
      <alignment horizontal="left"/>
    </xf>
    <xf numFmtId="39" fontId="43" fillId="0" borderId="31" applyFill="0">
      <alignment horizontal="left"/>
    </xf>
    <xf numFmtId="0" fontId="18" fillId="0" borderId="0" applyNumberFormat="0"/>
    <xf numFmtId="0" fontId="18" fillId="0" borderId="0" applyNumberFormat="0"/>
    <xf numFmtId="176" fontId="18" fillId="0" borderId="0" applyNumberFormat="0"/>
    <xf numFmtId="0" fontId="18" fillId="0" borderId="0" applyNumberFormat="0"/>
    <xf numFmtId="0" fontId="48" fillId="0" borderId="32">
      <protection locked="0"/>
    </xf>
    <xf numFmtId="176" fontId="48" fillId="0" borderId="32">
      <protection locked="0"/>
    </xf>
    <xf numFmtId="0" fontId="44" fillId="0" borderId="0" applyProtection="0"/>
    <xf numFmtId="0" fontId="44" fillId="0" borderId="0" applyProtection="0"/>
    <xf numFmtId="176" fontId="44" fillId="0" borderId="0" applyProtection="0"/>
    <xf numFmtId="0" fontId="44" fillId="0" borderId="0" applyProtection="0"/>
    <xf numFmtId="175" fontId="44" fillId="0" borderId="0" applyProtection="0"/>
    <xf numFmtId="0" fontId="45" fillId="0" borderId="0" applyProtection="0"/>
    <xf numFmtId="0" fontId="45" fillId="0" borderId="0" applyProtection="0"/>
    <xf numFmtId="176" fontId="45" fillId="0" borderId="0" applyProtection="0"/>
    <xf numFmtId="0" fontId="45" fillId="0" borderId="0" applyProtection="0"/>
    <xf numFmtId="0" fontId="46" fillId="0" borderId="0" applyProtection="0"/>
    <xf numFmtId="0" fontId="46" fillId="0" borderId="0" applyProtection="0"/>
    <xf numFmtId="176" fontId="46" fillId="0" borderId="0" applyProtection="0"/>
    <xf numFmtId="0" fontId="46" fillId="0" borderId="0" applyProtection="0"/>
    <xf numFmtId="0" fontId="44" fillId="0" borderId="29" applyProtection="0"/>
    <xf numFmtId="0" fontId="44" fillId="0" borderId="29" applyProtection="0"/>
    <xf numFmtId="176" fontId="44" fillId="0" borderId="29" applyProtection="0"/>
    <xf numFmtId="0" fontId="44" fillId="0" borderId="29" applyProtection="0"/>
    <xf numFmtId="0" fontId="44" fillId="0" borderId="0"/>
    <xf numFmtId="10" fontId="44" fillId="0" borderId="0" applyProtection="0"/>
    <xf numFmtId="0" fontId="44" fillId="0" borderId="0"/>
    <xf numFmtId="0" fontId="44" fillId="0" borderId="0"/>
    <xf numFmtId="176" fontId="44" fillId="0" borderId="0"/>
    <xf numFmtId="0" fontId="44" fillId="0" borderId="0"/>
    <xf numFmtId="2" fontId="44" fillId="0" borderId="0" applyProtection="0"/>
    <xf numFmtId="2" fontId="44" fillId="0" borderId="0" applyProtection="0"/>
    <xf numFmtId="2" fontId="44" fillId="0" borderId="0" applyProtection="0"/>
    <xf numFmtId="2" fontId="44" fillId="0" borderId="0" applyProtection="0"/>
    <xf numFmtId="4" fontId="44" fillId="0" borderId="0" applyProtection="0"/>
    <xf numFmtId="164" fontId="18" fillId="0" borderId="0" applyFont="0" applyFill="0" applyBorder="0" applyAlignment="0" applyProtection="0"/>
  </cellStyleXfs>
  <cellXfs count="266">
    <xf numFmtId="0" fontId="0" fillId="0" borderId="0" xfId="0"/>
    <xf numFmtId="0" fontId="20" fillId="0" borderId="0" xfId="0" applyFont="1"/>
    <xf numFmtId="0" fontId="20" fillId="0" borderId="0" xfId="0" applyFont="1" applyAlignment="1">
      <alignment wrapText="1"/>
    </xf>
    <xf numFmtId="165" fontId="20" fillId="0" borderId="0" xfId="1" applyNumberFormat="1" applyFont="1"/>
    <xf numFmtId="0" fontId="25" fillId="34" borderId="10" xfId="0" applyFont="1" applyFill="1" applyBorder="1" applyProtection="1"/>
    <xf numFmtId="0" fontId="25" fillId="34" borderId="10" xfId="0" applyFont="1" applyFill="1" applyBorder="1" applyAlignment="1" applyProtection="1">
      <alignment wrapText="1"/>
    </xf>
    <xf numFmtId="0" fontId="23" fillId="35" borderId="10" xfId="0" applyFont="1" applyFill="1" applyBorder="1" applyProtection="1"/>
    <xf numFmtId="0" fontId="23" fillId="35" borderId="10" xfId="0" applyFont="1" applyFill="1" applyBorder="1" applyAlignment="1" applyProtection="1">
      <alignment wrapText="1"/>
    </xf>
    <xf numFmtId="0" fontId="23" fillId="0" borderId="10" xfId="0" applyFont="1" applyBorder="1" applyProtection="1"/>
    <xf numFmtId="0" fontId="23" fillId="0" borderId="10" xfId="0" applyFont="1" applyBorder="1" applyAlignment="1" applyProtection="1">
      <alignment wrapText="1"/>
    </xf>
    <xf numFmtId="0" fontId="20" fillId="0" borderId="10" xfId="46" applyFont="1" applyFill="1" applyBorder="1" applyAlignment="1" applyProtection="1"/>
    <xf numFmtId="0" fontId="20" fillId="0" borderId="10" xfId="46" applyFont="1" applyFill="1" applyBorder="1" applyAlignment="1" applyProtection="1">
      <alignment wrapText="1"/>
    </xf>
    <xf numFmtId="0" fontId="20" fillId="0" borderId="10" xfId="46" applyFont="1" applyFill="1" applyBorder="1" applyAlignment="1" applyProtection="1">
      <alignment horizontal="left" wrapText="1"/>
    </xf>
    <xf numFmtId="0" fontId="23" fillId="0" borderId="10" xfId="0" applyFont="1" applyFill="1" applyBorder="1" applyProtection="1"/>
    <xf numFmtId="0" fontId="23" fillId="0" borderId="10" xfId="0" applyFont="1" applyFill="1" applyBorder="1" applyAlignment="1" applyProtection="1">
      <alignmen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36" borderId="10" xfId="0" applyFont="1" applyFill="1" applyBorder="1" applyAlignment="1" applyProtection="1">
      <alignment vertical="center"/>
    </xf>
    <xf numFmtId="0" fontId="25" fillId="36" borderId="10" xfId="0" applyFont="1" applyFill="1" applyBorder="1" applyAlignment="1" applyProtection="1">
      <alignment horizontal="left" vertical="center" wrapText="1"/>
    </xf>
    <xf numFmtId="0" fontId="25" fillId="36" borderId="12" xfId="0" applyFont="1" applyFill="1" applyBorder="1" applyAlignment="1" applyProtection="1">
      <alignment horizontal="left" vertical="center" wrapText="1"/>
    </xf>
    <xf numFmtId="0" fontId="25" fillId="36" borderId="10" xfId="0" applyFont="1" applyFill="1" applyBorder="1" applyProtection="1"/>
    <xf numFmtId="0" fontId="25" fillId="36" borderId="10" xfId="0" applyFont="1" applyFill="1" applyBorder="1" applyAlignment="1" applyProtection="1">
      <alignment horizontal="left" wrapText="1"/>
    </xf>
    <xf numFmtId="0" fontId="23" fillId="35" borderId="13" xfId="0" applyFont="1" applyFill="1" applyBorder="1" applyProtection="1"/>
    <xf numFmtId="0" fontId="23" fillId="35" borderId="13" xfId="0" applyFont="1" applyFill="1" applyBorder="1" applyAlignment="1" applyProtection="1">
      <alignment wrapText="1"/>
    </xf>
    <xf numFmtId="0" fontId="25" fillId="34" borderId="15" xfId="0" applyFont="1" applyFill="1" applyBorder="1" applyProtection="1"/>
    <xf numFmtId="0" fontId="25" fillId="34" borderId="15" xfId="0" applyFont="1" applyFill="1" applyBorder="1" applyAlignment="1" applyProtection="1">
      <alignment wrapText="1"/>
    </xf>
    <xf numFmtId="0" fontId="21" fillId="33" borderId="17" xfId="0" applyFont="1" applyFill="1" applyBorder="1" applyAlignment="1" applyProtection="1">
      <alignment horizontal="center" vertical="center" wrapText="1"/>
    </xf>
    <xf numFmtId="0" fontId="22" fillId="33" borderId="17" xfId="1" applyNumberFormat="1" applyFont="1" applyFill="1" applyBorder="1" applyAlignment="1">
      <alignment horizontal="center" wrapText="1"/>
    </xf>
    <xf numFmtId="0" fontId="18" fillId="37" borderId="0" xfId="48" applyFill="1" applyProtection="1"/>
    <xf numFmtId="0" fontId="18" fillId="0" borderId="0" xfId="48" applyFill="1" applyProtection="1"/>
    <xf numFmtId="0" fontId="18" fillId="37" borderId="0" xfId="48" applyFill="1" applyAlignment="1" applyProtection="1">
      <alignment vertical="center"/>
    </xf>
    <xf numFmtId="0" fontId="18" fillId="37" borderId="0" xfId="48" applyFill="1" applyAlignment="1" applyProtection="1">
      <alignment vertical="center"/>
      <protection locked="0"/>
    </xf>
    <xf numFmtId="0" fontId="18" fillId="37" borderId="0" xfId="48" applyFill="1" applyProtection="1">
      <protection locked="0"/>
    </xf>
    <xf numFmtId="0" fontId="18" fillId="0" borderId="0" xfId="49"/>
    <xf numFmtId="3" fontId="18" fillId="0" borderId="0" xfId="49" applyNumberFormat="1"/>
    <xf numFmtId="0" fontId="27" fillId="0" borderId="0" xfId="49" quotePrefix="1" applyFont="1" applyAlignment="1">
      <alignment horizontal="left"/>
    </xf>
    <xf numFmtId="1" fontId="18" fillId="0" borderId="0" xfId="49" applyNumberFormat="1"/>
    <xf numFmtId="166" fontId="18" fillId="0" borderId="0" xfId="51" applyNumberFormat="1"/>
    <xf numFmtId="168" fontId="18" fillId="0" borderId="0" xfId="51" applyNumberFormat="1"/>
    <xf numFmtId="0" fontId="27" fillId="0" borderId="0" xfId="49" applyFont="1"/>
    <xf numFmtId="173" fontId="18" fillId="0" borderId="0" xfId="49" applyNumberFormat="1"/>
    <xf numFmtId="0" fontId="30" fillId="0" borderId="0" xfId="49" applyFont="1" applyFill="1" applyBorder="1" applyProtection="1">
      <protection hidden="1"/>
    </xf>
    <xf numFmtId="0" fontId="29" fillId="0" borderId="0" xfId="49" applyFont="1" applyFill="1" applyBorder="1" applyProtection="1">
      <protection hidden="1"/>
    </xf>
    <xf numFmtId="0" fontId="30" fillId="0" borderId="0" xfId="49" applyFont="1"/>
    <xf numFmtId="0" fontId="31" fillId="38" borderId="18" xfId="54" applyFont="1" applyFill="1" applyBorder="1" applyAlignment="1" applyProtection="1">
      <alignment horizontal="center"/>
      <protection hidden="1"/>
    </xf>
    <xf numFmtId="0" fontId="31" fillId="39" borderId="18" xfId="54" applyFont="1" applyFill="1" applyBorder="1" applyAlignment="1" applyProtection="1">
      <protection hidden="1"/>
    </xf>
    <xf numFmtId="0" fontId="32" fillId="40" borderId="18" xfId="54" applyFont="1" applyFill="1" applyBorder="1" applyAlignment="1" applyProtection="1">
      <protection hidden="1"/>
    </xf>
    <xf numFmtId="0" fontId="32" fillId="40" borderId="18" xfId="54" quotePrefix="1" applyFont="1" applyFill="1" applyBorder="1" applyAlignment="1" applyProtection="1">
      <alignment horizontal="left"/>
      <protection hidden="1"/>
    </xf>
    <xf numFmtId="0" fontId="32" fillId="40" borderId="18" xfId="54" applyFont="1" applyFill="1" applyBorder="1" applyAlignment="1" applyProtection="1">
      <alignment horizontal="left"/>
      <protection hidden="1"/>
    </xf>
    <xf numFmtId="0" fontId="32" fillId="39" borderId="18" xfId="54" quotePrefix="1" applyFont="1" applyFill="1" applyBorder="1" applyAlignment="1" applyProtection="1">
      <alignment horizontal="left"/>
      <protection hidden="1"/>
    </xf>
    <xf numFmtId="0" fontId="32" fillId="40" borderId="0" xfId="54" quotePrefix="1" applyFont="1" applyFill="1" applyBorder="1" applyAlignment="1" applyProtection="1">
      <alignment horizontal="left"/>
      <protection hidden="1"/>
    </xf>
    <xf numFmtId="0" fontId="32" fillId="40" borderId="0" xfId="54" applyFont="1" applyFill="1" applyBorder="1" applyAlignment="1" applyProtection="1">
      <alignment horizontal="left"/>
      <protection hidden="1"/>
    </xf>
    <xf numFmtId="166" fontId="29" fillId="41" borderId="0" xfId="51" applyNumberFormat="1" applyFont="1" applyFill="1" applyBorder="1"/>
    <xf numFmtId="0" fontId="30" fillId="41" borderId="0" xfId="49" applyFont="1" applyFill="1"/>
    <xf numFmtId="0" fontId="30" fillId="41" borderId="18" xfId="0" quotePrefix="1" applyFont="1" applyFill="1" applyBorder="1" applyAlignment="1" applyProtection="1">
      <alignment horizontal="left"/>
    </xf>
    <xf numFmtId="0" fontId="30" fillId="0" borderId="0" xfId="0" applyFont="1" applyProtection="1">
      <protection locked="0"/>
    </xf>
    <xf numFmtId="0" fontId="30" fillId="0" borderId="0" xfId="49" applyFont="1" applyFill="1" applyBorder="1"/>
    <xf numFmtId="0" fontId="29" fillId="0" borderId="0" xfId="49" applyFont="1" applyFill="1" applyBorder="1"/>
    <xf numFmtId="0" fontId="24" fillId="0" borderId="0" xfId="49" applyFont="1" applyAlignment="1">
      <alignment wrapText="1"/>
    </xf>
    <xf numFmtId="0" fontId="33" fillId="0" borderId="0" xfId="0" applyFont="1"/>
    <xf numFmtId="0" fontId="24" fillId="0" borderId="0" xfId="49" applyFont="1"/>
    <xf numFmtId="0" fontId="33" fillId="0" borderId="0" xfId="0" applyFont="1" applyFill="1"/>
    <xf numFmtId="0" fontId="37" fillId="33" borderId="24" xfId="0" applyFont="1" applyFill="1" applyBorder="1" applyAlignment="1" applyProtection="1">
      <alignment horizontal="center" vertical="center" wrapText="1"/>
    </xf>
    <xf numFmtId="0" fontId="21" fillId="33" borderId="24" xfId="0" applyFont="1" applyFill="1" applyBorder="1" applyAlignment="1" applyProtection="1">
      <alignment horizontal="center" vertical="center" wrapText="1"/>
    </xf>
    <xf numFmtId="0" fontId="25" fillId="34" borderId="18" xfId="0" applyFont="1" applyFill="1" applyBorder="1" applyProtection="1"/>
    <xf numFmtId="171" fontId="32" fillId="0" borderId="18" xfId="49" quotePrefix="1" applyNumberFormat="1" applyFont="1" applyFill="1" applyBorder="1" applyAlignment="1" applyProtection="1">
      <alignment horizontal="center"/>
    </xf>
    <xf numFmtId="1" fontId="32" fillId="0" borderId="18" xfId="49" quotePrefix="1" applyNumberFormat="1" applyFont="1" applyFill="1" applyBorder="1" applyAlignment="1" applyProtection="1">
      <alignment horizontal="center"/>
    </xf>
    <xf numFmtId="171" fontId="32" fillId="0" borderId="18" xfId="49" applyNumberFormat="1" applyFont="1" applyFill="1" applyBorder="1" applyAlignment="1" applyProtection="1">
      <alignment horizontal="center"/>
    </xf>
    <xf numFmtId="0" fontId="30" fillId="0" borderId="18" xfId="49" applyFont="1" applyFill="1" applyBorder="1" applyAlignment="1" applyProtection="1">
      <alignment horizontal="center"/>
    </xf>
    <xf numFmtId="0" fontId="25" fillId="33" borderId="24" xfId="0" applyFont="1" applyFill="1" applyBorder="1" applyAlignment="1" applyProtection="1">
      <alignment horizontal="center" vertical="center" wrapText="1"/>
    </xf>
    <xf numFmtId="0" fontId="24" fillId="0" borderId="18" xfId="49" quotePrefix="1" applyFont="1" applyFill="1" applyBorder="1" applyAlignment="1" applyProtection="1">
      <alignment horizontal="left" wrapText="1"/>
    </xf>
    <xf numFmtId="0" fontId="20" fillId="0" borderId="18" xfId="49" quotePrefix="1" applyFont="1" applyFill="1" applyBorder="1" applyAlignment="1" applyProtection="1">
      <alignment horizontal="left" wrapText="1"/>
    </xf>
    <xf numFmtId="1" fontId="20" fillId="0" borderId="18" xfId="49" quotePrefix="1" applyNumberFormat="1" applyFont="1" applyFill="1" applyBorder="1" applyAlignment="1" applyProtection="1">
      <alignment horizontal="left" wrapText="1"/>
    </xf>
    <xf numFmtId="1" fontId="20" fillId="0" borderId="18" xfId="49" applyNumberFormat="1" applyFont="1" applyFill="1" applyBorder="1" applyAlignment="1" applyProtection="1">
      <alignment horizontal="left" wrapText="1"/>
    </xf>
    <xf numFmtId="0" fontId="30" fillId="0" borderId="18" xfId="49" quotePrefix="1" applyFont="1" applyFill="1" applyBorder="1" applyAlignment="1" applyProtection="1">
      <alignment horizontal="center"/>
    </xf>
    <xf numFmtId="0" fontId="25" fillId="34" borderId="18" xfId="0" applyFont="1" applyFill="1" applyBorder="1" applyAlignment="1" applyProtection="1">
      <alignment horizontal="center"/>
    </xf>
    <xf numFmtId="0" fontId="23" fillId="35" borderId="18" xfId="0" applyFont="1" applyFill="1" applyBorder="1" applyAlignment="1" applyProtection="1">
      <alignment horizontal="center"/>
    </xf>
    <xf numFmtId="0" fontId="33" fillId="0" borderId="0" xfId="0" applyFont="1" applyAlignment="1">
      <alignment horizontal="center"/>
    </xf>
    <xf numFmtId="0" fontId="29" fillId="35" borderId="18" xfId="0" applyFont="1" applyFill="1" applyBorder="1" applyProtection="1"/>
    <xf numFmtId="0" fontId="29" fillId="35" borderId="18" xfId="0" quotePrefix="1" applyFont="1" applyFill="1" applyBorder="1" applyAlignment="1" applyProtection="1">
      <alignment horizontal="left"/>
    </xf>
    <xf numFmtId="174" fontId="25" fillId="34" borderId="18" xfId="47" applyNumberFormat="1" applyFont="1" applyFill="1" applyBorder="1" applyAlignment="1" applyProtection="1">
      <alignment horizontal="center"/>
    </xf>
    <xf numFmtId="170" fontId="25" fillId="34" borderId="15" xfId="1" applyNumberFormat="1" applyFont="1" applyFill="1" applyBorder="1" applyProtection="1"/>
    <xf numFmtId="170" fontId="23" fillId="35" borderId="10" xfId="1" applyNumberFormat="1" applyFont="1" applyFill="1" applyBorder="1" applyProtection="1"/>
    <xf numFmtId="170" fontId="30" fillId="40" borderId="18" xfId="1" applyNumberFormat="1" applyFont="1" applyFill="1" applyBorder="1" applyAlignment="1" applyProtection="1">
      <alignment horizontal="right"/>
      <protection hidden="1"/>
    </xf>
    <xf numFmtId="170" fontId="29" fillId="40" borderId="18" xfId="1" applyNumberFormat="1" applyFont="1" applyFill="1" applyBorder="1" applyAlignment="1" applyProtection="1">
      <alignment horizontal="right"/>
      <protection hidden="1"/>
    </xf>
    <xf numFmtId="170" fontId="29" fillId="40" borderId="0" xfId="1" applyNumberFormat="1" applyFont="1" applyFill="1" applyBorder="1" applyAlignment="1" applyProtection="1">
      <alignment horizontal="right"/>
      <protection hidden="1"/>
    </xf>
    <xf numFmtId="170" fontId="30" fillId="41" borderId="18" xfId="1" applyNumberFormat="1" applyFont="1" applyFill="1" applyBorder="1" applyProtection="1"/>
    <xf numFmtId="170" fontId="30" fillId="0" borderId="18" xfId="1" applyNumberFormat="1" applyFont="1" applyBorder="1" applyProtection="1">
      <protection locked="0"/>
    </xf>
    <xf numFmtId="170" fontId="30" fillId="0" borderId="0" xfId="1" applyNumberFormat="1" applyFont="1" applyProtection="1">
      <protection locked="0"/>
    </xf>
    <xf numFmtId="170" fontId="30" fillId="0" borderId="0" xfId="1" applyNumberFormat="1" applyFont="1"/>
    <xf numFmtId="0" fontId="30" fillId="0" borderId="18" xfId="0" quotePrefix="1" applyFont="1" applyBorder="1" applyAlignment="1" applyProtection="1">
      <alignment horizontal="left"/>
      <protection locked="0"/>
    </xf>
    <xf numFmtId="0" fontId="25" fillId="34" borderId="15" xfId="1" applyNumberFormat="1" applyFont="1" applyFill="1" applyBorder="1" applyAlignment="1" applyProtection="1">
      <alignment horizontal="center"/>
    </xf>
    <xf numFmtId="0" fontId="24" fillId="0" borderId="0" xfId="49" applyFont="1" applyBorder="1" applyAlignment="1"/>
    <xf numFmtId="0" fontId="30" fillId="0" borderId="18" xfId="49" applyFont="1" applyBorder="1" applyAlignment="1" applyProtection="1">
      <alignment horizontal="left" wrapText="1"/>
    </xf>
    <xf numFmtId="0" fontId="24" fillId="0" borderId="0" xfId="49" quotePrefix="1" applyFont="1" applyBorder="1" applyAlignment="1" applyProtection="1">
      <alignment horizontal="left" wrapText="1"/>
    </xf>
    <xf numFmtId="0" fontId="24" fillId="0" borderId="18" xfId="49" applyFont="1" applyBorder="1" applyAlignment="1">
      <alignment wrapText="1"/>
    </xf>
    <xf numFmtId="0" fontId="25" fillId="34" borderId="18" xfId="0" applyFont="1" applyFill="1" applyBorder="1" applyAlignment="1" applyProtection="1">
      <alignment horizontal="center" wrapText="1"/>
    </xf>
    <xf numFmtId="0" fontId="38" fillId="0" borderId="0" xfId="49" quotePrefix="1" applyFont="1" applyBorder="1" applyAlignment="1">
      <alignment horizontal="left"/>
    </xf>
    <xf numFmtId="0" fontId="23" fillId="0" borderId="0" xfId="49" applyFont="1" applyProtection="1"/>
    <xf numFmtId="166" fontId="24" fillId="0" borderId="0" xfId="49" applyNumberFormat="1" applyFont="1" applyProtection="1"/>
    <xf numFmtId="0" fontId="24" fillId="0" borderId="0" xfId="49" applyFont="1" applyProtection="1"/>
    <xf numFmtId="0" fontId="24" fillId="0" borderId="0" xfId="49" applyFont="1" applyFill="1" applyBorder="1" applyProtection="1"/>
    <xf numFmtId="0" fontId="24" fillId="0" borderId="0" xfId="49" applyFont="1" applyFill="1" applyProtection="1"/>
    <xf numFmtId="168" fontId="24" fillId="0" borderId="0" xfId="49" applyNumberFormat="1" applyFont="1" applyProtection="1"/>
    <xf numFmtId="168" fontId="23" fillId="0" borderId="0" xfId="49" applyNumberFormat="1" applyFont="1" applyProtection="1"/>
    <xf numFmtId="169" fontId="24" fillId="0" borderId="0" xfId="50" applyNumberFormat="1" applyFont="1" applyAlignment="1" applyProtection="1">
      <alignment horizontal="right"/>
    </xf>
    <xf numFmtId="4" fontId="24" fillId="0" borderId="0" xfId="49" applyNumberFormat="1" applyFont="1" applyProtection="1"/>
    <xf numFmtId="166" fontId="23" fillId="0" borderId="0" xfId="49" applyNumberFormat="1" applyFont="1" applyProtection="1"/>
    <xf numFmtId="1" fontId="24" fillId="0" borderId="21" xfId="49" applyNumberFormat="1" applyFont="1" applyBorder="1" applyProtection="1"/>
    <xf numFmtId="170" fontId="24" fillId="0" borderId="18" xfId="1" quotePrefix="1" applyNumberFormat="1" applyFont="1" applyBorder="1" applyProtection="1">
      <protection locked="0"/>
    </xf>
    <xf numFmtId="173" fontId="24" fillId="0" borderId="0" xfId="49" applyNumberFormat="1" applyFont="1" applyFill="1" applyBorder="1" applyProtection="1"/>
    <xf numFmtId="1" fontId="24" fillId="0" borderId="21" xfId="49" quotePrefix="1" applyNumberFormat="1" applyFont="1" applyBorder="1" applyAlignment="1" applyProtection="1">
      <alignment horizontal="left"/>
    </xf>
    <xf numFmtId="9" fontId="24" fillId="0" borderId="0" xfId="52" applyFont="1" applyFill="1" applyBorder="1" applyProtection="1"/>
    <xf numFmtId="1" fontId="24" fillId="0" borderId="21" xfId="49" applyNumberFormat="1" applyFont="1" applyFill="1" applyBorder="1" applyProtection="1"/>
    <xf numFmtId="170" fontId="24" fillId="0" borderId="18" xfId="1" applyNumberFormat="1" applyFont="1" applyFill="1" applyBorder="1" applyProtection="1">
      <protection locked="0"/>
    </xf>
    <xf numFmtId="172" fontId="24" fillId="0" borderId="0" xfId="49" applyNumberFormat="1" applyFont="1" applyFill="1" applyBorder="1" applyProtection="1"/>
    <xf numFmtId="0" fontId="24" fillId="0" borderId="21" xfId="49" quotePrefix="1" applyFont="1" applyBorder="1" applyAlignment="1" applyProtection="1">
      <alignment horizontal="left"/>
    </xf>
    <xf numFmtId="0" fontId="24" fillId="0" borderId="0" xfId="49" applyFont="1" applyBorder="1" applyProtection="1"/>
    <xf numFmtId="166" fontId="24" fillId="0" borderId="0" xfId="51" applyNumberFormat="1" applyFont="1" applyBorder="1" applyProtection="1"/>
    <xf numFmtId="172" fontId="24" fillId="0" borderId="0" xfId="49" applyNumberFormat="1" applyFont="1" applyBorder="1" applyProtection="1"/>
    <xf numFmtId="166" fontId="24" fillId="0" borderId="0" xfId="51" applyNumberFormat="1" applyFont="1" applyFill="1" applyBorder="1" applyProtection="1"/>
    <xf numFmtId="0" fontId="39" fillId="0" borderId="0" xfId="53" applyFont="1" applyAlignment="1" applyProtection="1"/>
    <xf numFmtId="166" fontId="24" fillId="0" borderId="0" xfId="51" applyNumberFormat="1" applyFont="1" applyProtection="1"/>
    <xf numFmtId="0" fontId="25" fillId="34" borderId="15" xfId="0" applyFont="1" applyFill="1" applyBorder="1" applyAlignment="1" applyProtection="1">
      <alignment horizontal="center"/>
    </xf>
    <xf numFmtId="0" fontId="40" fillId="33" borderId="17" xfId="0" applyFont="1" applyFill="1" applyBorder="1" applyAlignment="1" applyProtection="1">
      <alignment horizontal="center" vertical="center" wrapText="1"/>
    </xf>
    <xf numFmtId="0" fontId="41" fillId="0" borderId="0" xfId="49" applyFont="1" applyFill="1" applyBorder="1" applyAlignment="1" applyProtection="1">
      <alignment horizontal="center" vertical="center" wrapText="1"/>
    </xf>
    <xf numFmtId="0" fontId="41" fillId="0" borderId="0" xfId="49" applyFont="1" applyFill="1" applyAlignment="1" applyProtection="1">
      <alignment horizontal="center" vertical="center" wrapText="1"/>
    </xf>
    <xf numFmtId="0" fontId="25" fillId="34" borderId="26" xfId="0" applyFont="1" applyFill="1" applyBorder="1" applyAlignment="1" applyProtection="1">
      <alignment horizontal="center"/>
    </xf>
    <xf numFmtId="3" fontId="18" fillId="0" borderId="0" xfId="158" applyNumberFormat="1"/>
    <xf numFmtId="0" fontId="18" fillId="0" borderId="0" xfId="158"/>
    <xf numFmtId="0" fontId="27" fillId="0" borderId="0" xfId="158" quotePrefix="1" applyFont="1" applyAlignment="1">
      <alignment horizontal="left"/>
    </xf>
    <xf numFmtId="1" fontId="18" fillId="0" borderId="0" xfId="158" applyNumberFormat="1"/>
    <xf numFmtId="166" fontId="18" fillId="0" borderId="0" xfId="221" applyNumberFormat="1"/>
    <xf numFmtId="168" fontId="18" fillId="0" borderId="0" xfId="221" applyNumberFormat="1"/>
    <xf numFmtId="0" fontId="27" fillId="0" borderId="0" xfId="158" applyFont="1"/>
    <xf numFmtId="173" fontId="18" fillId="0" borderId="0" xfId="158" applyNumberFormat="1"/>
    <xf numFmtId="0" fontId="53" fillId="0" borderId="0" xfId="158" quotePrefix="1" applyFont="1" applyAlignment="1">
      <alignment horizontal="left"/>
    </xf>
    <xf numFmtId="0" fontId="23" fillId="35" borderId="10" xfId="0" applyFont="1" applyFill="1" applyBorder="1" applyAlignment="1" applyProtection="1">
      <alignment horizontal="center" wrapText="1"/>
    </xf>
    <xf numFmtId="167" fontId="23" fillId="0" borderId="0" xfId="49" quotePrefix="1" applyNumberFormat="1" applyFont="1" applyFill="1" applyBorder="1" applyAlignment="1" applyProtection="1">
      <alignment horizontal="center"/>
    </xf>
    <xf numFmtId="0" fontId="24" fillId="0" borderId="0" xfId="57" applyFont="1" applyFill="1"/>
    <xf numFmtId="169" fontId="24" fillId="0" borderId="0" xfId="58" applyNumberFormat="1" applyFont="1" applyFill="1" applyBorder="1" applyAlignment="1" applyProtection="1">
      <alignment horizontal="right"/>
    </xf>
    <xf numFmtId="0" fontId="23" fillId="0" borderId="0" xfId="49" quotePrefix="1" applyFont="1" applyAlignment="1" applyProtection="1">
      <alignment horizontal="left"/>
    </xf>
    <xf numFmtId="0" fontId="24" fillId="0" borderId="0" xfId="49" applyFont="1" applyFill="1" applyBorder="1" applyAlignment="1" applyProtection="1">
      <alignment horizontal="center" vertical="center" wrapText="1"/>
    </xf>
    <xf numFmtId="0" fontId="24" fillId="0" borderId="0" xfId="49" applyFont="1" applyFill="1" applyAlignment="1" applyProtection="1">
      <alignment horizontal="center" vertical="center" wrapText="1"/>
    </xf>
    <xf numFmtId="170" fontId="24" fillId="0" borderId="18" xfId="1" quotePrefix="1" applyNumberFormat="1" applyFont="1" applyFill="1" applyBorder="1" applyProtection="1">
      <protection locked="0"/>
    </xf>
    <xf numFmtId="170" fontId="24" fillId="0" borderId="18" xfId="1" applyNumberFormat="1" applyFont="1" applyBorder="1" applyProtection="1">
      <protection locked="0"/>
    </xf>
    <xf numFmtId="166" fontId="24" fillId="0" borderId="0" xfId="61" applyNumberFormat="1" applyFont="1" applyProtection="1"/>
    <xf numFmtId="170" fontId="24" fillId="0" borderId="0" xfId="1" applyNumberFormat="1" applyFont="1" applyFill="1" applyBorder="1" applyProtection="1"/>
    <xf numFmtId="166" fontId="24" fillId="0" borderId="0" xfId="61" applyNumberFormat="1" applyFont="1" applyFill="1" applyBorder="1" applyProtection="1"/>
    <xf numFmtId="166" fontId="24" fillId="0" borderId="0" xfId="61" applyNumberFormat="1" applyFont="1" applyBorder="1" applyProtection="1"/>
    <xf numFmtId="0" fontId="57" fillId="0" borderId="0" xfId="53" applyFont="1" applyAlignment="1" applyProtection="1"/>
    <xf numFmtId="0" fontId="25" fillId="34" borderId="15" xfId="0" quotePrefix="1" applyFont="1" applyFill="1" applyBorder="1" applyAlignment="1" applyProtection="1">
      <alignment horizontal="left" wrapText="1"/>
    </xf>
    <xf numFmtId="190" fontId="24" fillId="0" borderId="0" xfId="1" applyNumberFormat="1" applyFont="1" applyProtection="1"/>
    <xf numFmtId="190" fontId="24" fillId="0" borderId="0" xfId="1" applyNumberFormat="1" applyFont="1" applyFill="1" applyBorder="1" applyProtection="1"/>
    <xf numFmtId="190" fontId="23" fillId="0" borderId="0" xfId="1" applyNumberFormat="1" applyFont="1" applyProtection="1"/>
    <xf numFmtId="170" fontId="25" fillId="34" borderId="15" xfId="1" applyNumberFormat="1" applyFont="1" applyFill="1" applyBorder="1" applyProtection="1">
      <protection locked="0"/>
    </xf>
    <xf numFmtId="170" fontId="23" fillId="35" borderId="10" xfId="1" applyNumberFormat="1" applyFont="1" applyFill="1" applyBorder="1" applyAlignment="1" applyProtection="1">
      <alignment wrapText="1"/>
      <protection locked="0"/>
    </xf>
    <xf numFmtId="0" fontId="38" fillId="0" borderId="19"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25" fillId="34" borderId="15" xfId="0" applyFont="1" applyFill="1" applyBorder="1" applyAlignment="1" applyProtection="1">
      <alignment horizontal="center" wrapText="1"/>
    </xf>
    <xf numFmtId="170" fontId="24" fillId="0" borderId="0" xfId="49" applyNumberFormat="1" applyFont="1" applyProtection="1"/>
    <xf numFmtId="170" fontId="18" fillId="0" borderId="0" xfId="1" applyNumberFormat="1" applyFont="1"/>
    <xf numFmtId="170" fontId="18" fillId="0" borderId="0" xfId="158" applyNumberFormat="1"/>
    <xf numFmtId="190" fontId="18" fillId="0" borderId="0" xfId="158" applyNumberFormat="1"/>
    <xf numFmtId="170" fontId="25" fillId="34" borderId="25" xfId="1" applyNumberFormat="1" applyFont="1" applyFill="1" applyBorder="1" applyProtection="1">
      <protection locked="0"/>
    </xf>
    <xf numFmtId="170" fontId="23" fillId="35" borderId="33" xfId="1" applyNumberFormat="1" applyFont="1" applyFill="1" applyBorder="1" applyAlignment="1" applyProtection="1">
      <alignment wrapText="1"/>
      <protection locked="0"/>
    </xf>
    <xf numFmtId="170" fontId="24" fillId="0" borderId="20" xfId="1" quotePrefix="1" applyNumberFormat="1" applyFont="1" applyFill="1" applyBorder="1" applyProtection="1">
      <protection locked="0"/>
    </xf>
    <xf numFmtId="170" fontId="24" fillId="0" borderId="20" xfId="1" applyNumberFormat="1" applyFont="1" applyFill="1" applyBorder="1" applyProtection="1">
      <protection locked="0"/>
    </xf>
    <xf numFmtId="170" fontId="24" fillId="0" borderId="20" xfId="1" applyNumberFormat="1" applyFont="1" applyBorder="1" applyProtection="1">
      <protection locked="0"/>
    </xf>
    <xf numFmtId="0" fontId="40" fillId="33" borderId="37" xfId="0" applyFont="1" applyFill="1" applyBorder="1" applyAlignment="1" applyProtection="1">
      <alignment horizontal="center" vertical="center" wrapText="1"/>
    </xf>
    <xf numFmtId="0" fontId="25" fillId="34" borderId="38" xfId="0" applyFont="1" applyFill="1" applyBorder="1" applyProtection="1"/>
    <xf numFmtId="0" fontId="23" fillId="35" borderId="39" xfId="0" applyFont="1" applyFill="1" applyBorder="1" applyAlignment="1" applyProtection="1">
      <alignment wrapText="1"/>
    </xf>
    <xf numFmtId="0" fontId="56" fillId="0" borderId="18" xfId="59" applyFont="1" applyFill="1" applyBorder="1" applyAlignment="1" applyProtection="1">
      <protection locked="0"/>
    </xf>
    <xf numFmtId="0" fontId="56" fillId="0" borderId="18" xfId="59" quotePrefix="1" applyFont="1" applyFill="1" applyBorder="1" applyAlignment="1" applyProtection="1">
      <alignment horizontal="left"/>
      <protection locked="0"/>
    </xf>
    <xf numFmtId="0" fontId="56" fillId="0" borderId="18" xfId="59" applyFont="1" applyFill="1" applyBorder="1" applyAlignment="1" applyProtection="1"/>
    <xf numFmtId="0" fontId="56" fillId="0" borderId="18" xfId="59" quotePrefix="1" applyFont="1" applyFill="1" applyBorder="1" applyAlignment="1" applyProtection="1">
      <alignment horizontal="left"/>
    </xf>
    <xf numFmtId="0" fontId="25" fillId="34" borderId="40" xfId="0" applyFont="1" applyFill="1" applyBorder="1" applyProtection="1"/>
    <xf numFmtId="0" fontId="55" fillId="33" borderId="41" xfId="0" applyFont="1" applyFill="1" applyBorder="1" applyAlignment="1" applyProtection="1">
      <alignment horizontal="center" vertical="center" wrapText="1"/>
    </xf>
    <xf numFmtId="0" fontId="55" fillId="33" borderId="42" xfId="0" applyFont="1" applyFill="1" applyBorder="1" applyAlignment="1" applyProtection="1">
      <alignment horizontal="center" vertical="center" wrapText="1"/>
    </xf>
    <xf numFmtId="0" fontId="40" fillId="33" borderId="42" xfId="0" applyFont="1" applyFill="1" applyBorder="1" applyAlignment="1" applyProtection="1">
      <alignment horizontal="center" vertical="center" wrapText="1"/>
    </xf>
    <xf numFmtId="0" fontId="40" fillId="33" borderId="43" xfId="0" applyFont="1" applyFill="1" applyBorder="1" applyAlignment="1" applyProtection="1">
      <alignment horizontal="center" vertical="center" wrapText="1"/>
    </xf>
    <xf numFmtId="170" fontId="25" fillId="34" borderId="44" xfId="1" applyNumberFormat="1" applyFont="1" applyFill="1" applyBorder="1" applyProtection="1">
      <protection locked="0"/>
    </xf>
    <xf numFmtId="170" fontId="25" fillId="34" borderId="45" xfId="1" applyNumberFormat="1" applyFont="1" applyFill="1" applyBorder="1" applyProtection="1">
      <protection locked="0"/>
    </xf>
    <xf numFmtId="0" fontId="40" fillId="33" borderId="41" xfId="0" applyFont="1" applyFill="1" applyBorder="1" applyAlignment="1" applyProtection="1">
      <alignment horizontal="center" vertical="center" wrapText="1"/>
    </xf>
    <xf numFmtId="3" fontId="20" fillId="0" borderId="11" xfId="1" applyNumberFormat="1" applyFont="1" applyFill="1" applyBorder="1" applyAlignment="1" applyProtection="1"/>
    <xf numFmtId="3" fontId="25" fillId="34" borderId="16" xfId="1" applyNumberFormat="1" applyFont="1" applyFill="1" applyBorder="1" applyProtection="1"/>
    <xf numFmtId="3" fontId="23" fillId="35" borderId="11" xfId="1" applyNumberFormat="1" applyFont="1" applyFill="1" applyBorder="1" applyProtection="1"/>
    <xf numFmtId="3" fontId="25" fillId="34" borderId="11" xfId="1" applyNumberFormat="1" applyFont="1" applyFill="1" applyBorder="1" applyProtection="1"/>
    <xf numFmtId="3" fontId="25" fillId="36" borderId="11" xfId="1" applyNumberFormat="1" applyFont="1" applyFill="1" applyBorder="1" applyAlignment="1" applyProtection="1">
      <alignment vertical="center"/>
    </xf>
    <xf numFmtId="3" fontId="23" fillId="0" borderId="11" xfId="1" applyNumberFormat="1" applyFont="1" applyBorder="1" applyProtection="1"/>
    <xf numFmtId="3" fontId="25" fillId="36" borderId="11" xfId="1" applyNumberFormat="1" applyFont="1" applyFill="1" applyBorder="1" applyProtection="1"/>
    <xf numFmtId="3" fontId="23" fillId="35" borderId="10" xfId="1" applyNumberFormat="1" applyFont="1" applyFill="1" applyBorder="1" applyProtection="1"/>
    <xf numFmtId="3" fontId="23" fillId="35" borderId="14" xfId="1" applyNumberFormat="1" applyFont="1" applyFill="1" applyBorder="1" applyProtection="1"/>
    <xf numFmtId="3" fontId="0" fillId="0" borderId="0" xfId="0" applyNumberFormat="1"/>
    <xf numFmtId="170" fontId="24" fillId="0" borderId="0" xfId="49" applyNumberFormat="1" applyFont="1" applyFill="1" applyBorder="1" applyProtection="1"/>
    <xf numFmtId="43" fontId="24" fillId="0" borderId="0" xfId="49" applyNumberFormat="1" applyFont="1" applyProtection="1"/>
    <xf numFmtId="170" fontId="25" fillId="34" borderId="18" xfId="1" applyNumberFormat="1" applyFont="1" applyFill="1" applyBorder="1" applyProtection="1"/>
    <xf numFmtId="170" fontId="34" fillId="0" borderId="18" xfId="1" applyNumberFormat="1" applyFont="1" applyFill="1" applyBorder="1" applyAlignment="1" applyProtection="1">
      <alignment horizontal="right"/>
    </xf>
    <xf numFmtId="170" fontId="34" fillId="0" borderId="18" xfId="1" applyNumberFormat="1" applyFont="1" applyFill="1" applyBorder="1" applyAlignment="1" applyProtection="1">
      <alignment horizontal="right"/>
      <protection locked="0"/>
    </xf>
    <xf numFmtId="170" fontId="36" fillId="0" borderId="18" xfId="1" applyNumberFormat="1" applyFont="1" applyFill="1" applyBorder="1" applyAlignment="1" applyProtection="1">
      <alignment horizontal="right"/>
      <protection locked="0"/>
    </xf>
    <xf numFmtId="170" fontId="35" fillId="0" borderId="18" xfId="1" applyNumberFormat="1" applyFont="1" applyFill="1" applyBorder="1" applyAlignment="1" applyProtection="1">
      <alignment horizontal="right"/>
      <protection locked="0"/>
    </xf>
    <xf numFmtId="3" fontId="25" fillId="34" borderId="18" xfId="0" applyNumberFormat="1" applyFont="1" applyFill="1" applyBorder="1" applyProtection="1"/>
    <xf numFmtId="43" fontId="23" fillId="35" borderId="18" xfId="1" applyFont="1" applyFill="1" applyBorder="1" applyProtection="1"/>
    <xf numFmtId="170" fontId="23" fillId="35" borderId="18" xfId="1" applyNumberFormat="1" applyFont="1" applyFill="1" applyBorder="1" applyProtection="1"/>
    <xf numFmtId="43" fontId="18" fillId="0" borderId="0" xfId="158" applyNumberFormat="1"/>
    <xf numFmtId="0" fontId="18" fillId="0" borderId="18" xfId="158" applyBorder="1" applyAlignment="1">
      <alignment horizontal="center"/>
    </xf>
    <xf numFmtId="170" fontId="18" fillId="0" borderId="18" xfId="1" applyNumberFormat="1" applyFont="1" applyBorder="1"/>
    <xf numFmtId="43" fontId="18" fillId="0" borderId="18" xfId="158" applyNumberFormat="1" applyBorder="1"/>
    <xf numFmtId="0" fontId="21" fillId="33" borderId="18" xfId="0" applyFont="1" applyFill="1" applyBorder="1" applyAlignment="1" applyProtection="1">
      <alignment horizontal="center" vertical="center" wrapText="1"/>
    </xf>
    <xf numFmtId="170" fontId="21" fillId="33" borderId="18" xfId="1" applyNumberFormat="1" applyFont="1" applyFill="1" applyBorder="1" applyAlignment="1" applyProtection="1">
      <alignment horizontal="center" vertical="center" wrapText="1"/>
    </xf>
    <xf numFmtId="43" fontId="21" fillId="33" borderId="18" xfId="1" applyNumberFormat="1" applyFont="1" applyFill="1" applyBorder="1" applyAlignment="1" applyProtection="1">
      <alignment horizontal="center" vertical="center" wrapText="1"/>
    </xf>
    <xf numFmtId="0" fontId="59" fillId="0" borderId="0" xfId="0" applyFont="1"/>
    <xf numFmtId="0" fontId="54" fillId="0" borderId="0" xfId="158" applyFont="1" applyFill="1"/>
    <xf numFmtId="0" fontId="18" fillId="0" borderId="0" xfId="158" applyFill="1"/>
    <xf numFmtId="0" fontId="27" fillId="0" borderId="0" xfId="49" applyFont="1" applyFill="1" applyAlignment="1"/>
    <xf numFmtId="170" fontId="25" fillId="34" borderId="15" xfId="1" applyNumberFormat="1" applyFont="1" applyFill="1" applyBorder="1" applyProtection="1">
      <protection hidden="1"/>
    </xf>
    <xf numFmtId="170" fontId="25" fillId="34" borderId="35" xfId="1" applyNumberFormat="1" applyFont="1" applyFill="1" applyBorder="1" applyProtection="1">
      <protection hidden="1"/>
    </xf>
    <xf numFmtId="43" fontId="25" fillId="34" borderId="25" xfId="1" applyFont="1" applyFill="1" applyBorder="1" applyProtection="1">
      <protection hidden="1"/>
    </xf>
    <xf numFmtId="43" fontId="25" fillId="34" borderId="15" xfId="1" applyFont="1" applyFill="1" applyBorder="1" applyProtection="1">
      <protection hidden="1"/>
    </xf>
    <xf numFmtId="43" fontId="25" fillId="34" borderId="35" xfId="1" applyFont="1" applyFill="1" applyBorder="1" applyProtection="1">
      <protection hidden="1"/>
    </xf>
    <xf numFmtId="170" fontId="23" fillId="35" borderId="10" xfId="1" applyNumberFormat="1" applyFont="1" applyFill="1" applyBorder="1" applyAlignment="1" applyProtection="1">
      <alignment wrapText="1"/>
      <protection hidden="1"/>
    </xf>
    <xf numFmtId="170" fontId="23" fillId="35" borderId="34" xfId="1" applyNumberFormat="1" applyFont="1" applyFill="1" applyBorder="1" applyAlignment="1" applyProtection="1">
      <alignment wrapText="1"/>
      <protection hidden="1"/>
    </xf>
    <xf numFmtId="43" fontId="23" fillId="35" borderId="33" xfId="1" applyFont="1" applyFill="1" applyBorder="1" applyAlignment="1" applyProtection="1">
      <alignment wrapText="1"/>
      <protection hidden="1"/>
    </xf>
    <xf numFmtId="43" fontId="23" fillId="35" borderId="10" xfId="1" applyFont="1" applyFill="1" applyBorder="1" applyAlignment="1" applyProtection="1">
      <alignment wrapText="1"/>
      <protection hidden="1"/>
    </xf>
    <xf numFmtId="43" fontId="23" fillId="35" borderId="34" xfId="1" applyFont="1" applyFill="1" applyBorder="1" applyAlignment="1" applyProtection="1">
      <alignment wrapText="1"/>
      <protection hidden="1"/>
    </xf>
    <xf numFmtId="170" fontId="24" fillId="0" borderId="18" xfId="1" quotePrefix="1" applyNumberFormat="1" applyFont="1" applyFill="1" applyBorder="1" applyProtection="1">
      <protection locked="0" hidden="1"/>
    </xf>
    <xf numFmtId="170" fontId="24" fillId="0" borderId="20" xfId="1" applyNumberFormat="1" applyFont="1" applyFill="1" applyBorder="1" applyProtection="1">
      <protection hidden="1"/>
    </xf>
    <xf numFmtId="170" fontId="24" fillId="0" borderId="18" xfId="1" applyNumberFormat="1" applyFont="1" applyFill="1" applyBorder="1" applyProtection="1">
      <protection hidden="1"/>
    </xf>
    <xf numFmtId="43" fontId="24" fillId="0" borderId="20" xfId="1" applyFont="1" applyFill="1" applyBorder="1" applyProtection="1">
      <protection hidden="1"/>
    </xf>
    <xf numFmtId="43" fontId="24" fillId="0" borderId="18" xfId="1" applyFont="1" applyFill="1" applyBorder="1" applyProtection="1">
      <protection hidden="1"/>
    </xf>
    <xf numFmtId="170" fontId="23" fillId="35" borderId="33" xfId="1" applyNumberFormat="1" applyFont="1" applyFill="1" applyBorder="1" applyAlignment="1" applyProtection="1">
      <alignment wrapText="1"/>
      <protection hidden="1"/>
    </xf>
    <xf numFmtId="170" fontId="24" fillId="0" borderId="18" xfId="1" applyNumberFormat="1" applyFont="1" applyFill="1" applyBorder="1" applyProtection="1">
      <protection locked="0" hidden="1"/>
    </xf>
    <xf numFmtId="170" fontId="25" fillId="34" borderId="25" xfId="1" applyNumberFormat="1" applyFont="1" applyFill="1" applyBorder="1" applyProtection="1">
      <protection hidden="1"/>
    </xf>
    <xf numFmtId="170" fontId="25" fillId="34" borderId="45" xfId="1" applyNumberFormat="1" applyFont="1" applyFill="1" applyBorder="1" applyProtection="1">
      <protection hidden="1"/>
    </xf>
    <xf numFmtId="170" fontId="25" fillId="34" borderId="46" xfId="1" applyNumberFormat="1" applyFont="1" applyFill="1" applyBorder="1" applyProtection="1">
      <protection hidden="1"/>
    </xf>
    <xf numFmtId="43" fontId="25" fillId="34" borderId="44" xfId="1" applyFont="1" applyFill="1" applyBorder="1" applyProtection="1">
      <protection hidden="1"/>
    </xf>
    <xf numFmtId="43" fontId="25" fillId="34" borderId="45" xfId="1" applyFont="1" applyFill="1" applyBorder="1" applyProtection="1">
      <protection hidden="1"/>
    </xf>
    <xf numFmtId="43" fontId="25" fillId="34" borderId="46" xfId="1" applyFont="1" applyFill="1" applyBorder="1" applyProtection="1">
      <protection hidden="1"/>
    </xf>
    <xf numFmtId="0" fontId="40" fillId="33" borderId="17" xfId="0" applyFont="1" applyFill="1" applyBorder="1" applyAlignment="1" applyProtection="1">
      <alignment horizontal="center" vertical="center" wrapText="1"/>
      <protection hidden="1"/>
    </xf>
    <xf numFmtId="190" fontId="60" fillId="33" borderId="17" xfId="1" applyNumberFormat="1" applyFont="1" applyFill="1" applyBorder="1" applyAlignment="1" applyProtection="1">
      <alignment horizontal="center" vertical="center" wrapText="1"/>
      <protection hidden="1"/>
    </xf>
    <xf numFmtId="190" fontId="40" fillId="33" borderId="17" xfId="1" applyNumberFormat="1" applyFont="1" applyFill="1" applyBorder="1" applyAlignment="1" applyProtection="1">
      <alignment horizontal="center" vertical="center" wrapText="1"/>
      <protection hidden="1"/>
    </xf>
    <xf numFmtId="190" fontId="25" fillId="34" borderId="15" xfId="1" applyNumberFormat="1" applyFont="1" applyFill="1" applyBorder="1" applyProtection="1">
      <protection hidden="1"/>
    </xf>
    <xf numFmtId="190" fontId="23" fillId="35" borderId="10" xfId="1" applyNumberFormat="1" applyFont="1" applyFill="1" applyBorder="1" applyAlignment="1" applyProtection="1">
      <alignment wrapText="1"/>
      <protection hidden="1"/>
    </xf>
    <xf numFmtId="170" fontId="24" fillId="0" borderId="20" xfId="1" applyNumberFormat="1" applyFont="1" applyBorder="1" applyProtection="1">
      <protection hidden="1"/>
    </xf>
    <xf numFmtId="170" fontId="24" fillId="0" borderId="18" xfId="1" applyNumberFormat="1" applyFont="1" applyBorder="1" applyProtection="1">
      <protection hidden="1"/>
    </xf>
    <xf numFmtId="190" fontId="24" fillId="0" borderId="20" xfId="1" applyNumberFormat="1" applyFont="1" applyBorder="1" applyProtection="1">
      <protection hidden="1"/>
    </xf>
    <xf numFmtId="190" fontId="24" fillId="0" borderId="18" xfId="1" applyNumberFormat="1" applyFont="1" applyBorder="1" applyProtection="1">
      <protection hidden="1"/>
    </xf>
    <xf numFmtId="190" fontId="24" fillId="0" borderId="22" xfId="1" applyNumberFormat="1" applyFont="1" applyBorder="1" applyAlignment="1" applyProtection="1">
      <alignment horizontal="center"/>
      <protection hidden="1"/>
    </xf>
    <xf numFmtId="190" fontId="24" fillId="0" borderId="20" xfId="1" applyNumberFormat="1" applyFont="1" applyFill="1" applyBorder="1" applyProtection="1">
      <protection hidden="1"/>
    </xf>
    <xf numFmtId="190" fontId="24" fillId="0" borderId="18" xfId="1" applyNumberFormat="1" applyFont="1" applyFill="1" applyBorder="1" applyProtection="1">
      <protection hidden="1"/>
    </xf>
    <xf numFmtId="190" fontId="24" fillId="0" borderId="22" xfId="1" applyNumberFormat="1" applyFont="1" applyFill="1" applyBorder="1" applyAlignment="1" applyProtection="1">
      <alignment horizontal="center"/>
      <protection hidden="1"/>
    </xf>
    <xf numFmtId="166" fontId="24" fillId="0" borderId="18" xfId="56" applyNumberFormat="1" applyFont="1" applyBorder="1" applyAlignment="1" applyProtection="1">
      <protection hidden="1"/>
    </xf>
    <xf numFmtId="190" fontId="25" fillId="34" borderId="18" xfId="1" applyNumberFormat="1" applyFont="1" applyFill="1" applyBorder="1" applyAlignment="1" applyProtection="1">
      <alignment horizontal="center"/>
      <protection hidden="1"/>
    </xf>
    <xf numFmtId="0" fontId="58" fillId="35" borderId="18" xfId="0" applyFont="1" applyFill="1" applyBorder="1" applyAlignment="1" applyProtection="1">
      <alignment horizontal="center"/>
      <protection hidden="1"/>
    </xf>
    <xf numFmtId="0" fontId="24" fillId="0" borderId="0" xfId="49" applyFont="1" applyBorder="1" applyProtection="1">
      <protection hidden="1"/>
    </xf>
    <xf numFmtId="0" fontId="24" fillId="0" borderId="23" xfId="49" applyFont="1" applyBorder="1" applyProtection="1">
      <protection hidden="1"/>
    </xf>
    <xf numFmtId="0" fontId="29" fillId="35" borderId="18" xfId="0" applyFont="1" applyFill="1" applyBorder="1" applyAlignment="1" applyProtection="1">
      <alignment horizontal="center"/>
      <protection hidden="1"/>
    </xf>
    <xf numFmtId="166" fontId="24" fillId="0" borderId="18" xfId="56" applyNumberFormat="1" applyFont="1" applyBorder="1" applyProtection="1">
      <protection hidden="1"/>
    </xf>
    <xf numFmtId="170" fontId="25" fillId="34" borderId="15" xfId="0" applyNumberFormat="1" applyFont="1" applyFill="1" applyBorder="1" applyProtection="1">
      <protection locked="0"/>
    </xf>
    <xf numFmtId="0" fontId="25" fillId="34" borderId="26" xfId="0" quotePrefix="1" applyFont="1" applyFill="1" applyBorder="1" applyAlignment="1" applyProtection="1">
      <alignment horizontal="center" wrapText="1"/>
    </xf>
    <xf numFmtId="0" fontId="0" fillId="0" borderId="27" xfId="0" applyBorder="1" applyAlignment="1">
      <alignment horizontal="center"/>
    </xf>
    <xf numFmtId="0" fontId="25" fillId="34" borderId="12" xfId="0" applyFont="1" applyFill="1" applyBorder="1" applyAlignment="1" applyProtection="1">
      <alignment horizontal="center" wrapText="1"/>
    </xf>
    <xf numFmtId="0" fontId="25" fillId="34" borderId="36" xfId="0" applyFont="1" applyFill="1" applyBorder="1" applyAlignment="1" applyProtection="1">
      <alignment horizontal="center" wrapText="1"/>
    </xf>
    <xf numFmtId="0" fontId="38" fillId="0" borderId="0" xfId="49" quotePrefix="1" applyFont="1" applyBorder="1" applyAlignment="1" applyProtection="1">
      <alignment horizontal="left" vertical="center"/>
      <protection hidden="1"/>
    </xf>
    <xf numFmtId="0" fontId="23" fillId="0" borderId="28" xfId="49" quotePrefix="1" applyFont="1" applyBorder="1" applyAlignment="1" applyProtection="1">
      <alignment horizontal="left" wrapText="1"/>
    </xf>
  </cellXfs>
  <cellStyles count="222">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ategoría del Piloto de Datos" xfId="80"/>
    <cellStyle name="Celda de comprobación" xfId="14" builtinId="23" customBuiltin="1"/>
    <cellStyle name="Celda vinculada" xfId="13" builtinId="24" customBuiltin="1"/>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Millares" xfId="1" builtinId="3" customBuiltin="1"/>
    <cellStyle name="Millares 2" xfId="43"/>
    <cellStyle name="Millares 2 2" xfId="145"/>
    <cellStyle name="Millares 2 3" xfId="55"/>
    <cellStyle name="Millares 3" xfId="60"/>
    <cellStyle name="Millares 4" xfId="50"/>
    <cellStyle name="Millares 4 2" xfId="58"/>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1"/>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ormal" xfId="0" builtinId="0" customBuiltin="1"/>
    <cellStyle name="Normal 2" xfId="44"/>
    <cellStyle name="Normal 2 2" xfId="48"/>
    <cellStyle name="Normal 3" xfId="49"/>
    <cellStyle name="Normal 3 2" xfId="158"/>
    <cellStyle name="Normal 4" xfId="45"/>
    <cellStyle name="Normal 5" xfId="57"/>
    <cellStyle name="Normal_Hoja1" xfId="54"/>
    <cellStyle name="Normal_Hoja2" xfId="59"/>
    <cellStyle name="Normal_Hoja3" xfId="46"/>
    <cellStyle name="Notas" xfId="16" builtinId="10" customBuiltin="1"/>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170"/>
    <cellStyle name="Porcentaje 2" xfId="171"/>
    <cellStyle name="Porcentaje 3" xfId="172"/>
    <cellStyle name="Porcentaje_Historico" xfId="173"/>
    <cellStyle name="Porcentual" xfId="47" builtinId="5"/>
    <cellStyle name="Porcentual 2" xfId="174"/>
    <cellStyle name="Porcentual 2 2" xfId="175"/>
    <cellStyle name="Porcentual 3" xfId="52"/>
    <cellStyle name="Punto" xfId="176"/>
    <cellStyle name="Punto 2" xfId="177"/>
    <cellStyle name="Punto 3" xfId="178"/>
    <cellStyle name="Punto_Historico" xfId="179"/>
    <cellStyle name="Punto0" xfId="180"/>
    <cellStyle name="Punto1 - Modelo1" xfId="181"/>
    <cellStyle name="Punto1 - Modelo1 2" xfId="182"/>
    <cellStyle name="Resumen" xfId="183"/>
    <cellStyle name="Resumen 2" xfId="184"/>
    <cellStyle name="Resumen 3" xfId="185"/>
    <cellStyle name="Resumen_Historico" xfId="186"/>
    <cellStyle name="Salida" xfId="11" builtinId="21" customBuiltin="1"/>
    <cellStyle name="Text" xfId="187"/>
    <cellStyle name="Text 2" xfId="188"/>
    <cellStyle name="Text 3" xfId="189"/>
    <cellStyle name="Text_Historico" xfId="190"/>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 name="Total 2" xfId="191"/>
    <cellStyle name="Total 3" xfId="192"/>
    <cellStyle name="ДАТА" xfId="193"/>
    <cellStyle name="ДАТА 2" xfId="194"/>
    <cellStyle name="ДАТА 3" xfId="195"/>
    <cellStyle name="ДАТА_Historico" xfId="196"/>
    <cellStyle name="ДЕНЕЖНЫЙ_BOPENGC" xfId="197"/>
    <cellStyle name="ЗАГОЛОВОК1" xfId="198"/>
    <cellStyle name="ЗАГОЛОВОК1 2" xfId="199"/>
    <cellStyle name="ЗАГОЛОВОК1 3" xfId="200"/>
    <cellStyle name="ЗАГОЛОВОК1_Historico" xfId="201"/>
    <cellStyle name="ЗАГОЛОВОК2" xfId="202"/>
    <cellStyle name="ЗАГОЛОВОК2 2" xfId="203"/>
    <cellStyle name="ЗАГОЛОВОК2 3" xfId="204"/>
    <cellStyle name="ЗАГОЛОВОК2_Historico" xfId="205"/>
    <cellStyle name="ИТОГОВЫЙ" xfId="206"/>
    <cellStyle name="ИТОГОВЫЙ 2" xfId="207"/>
    <cellStyle name="ИТОГОВЫЙ 3" xfId="208"/>
    <cellStyle name="ИТОГОВЫЙ_Historico" xfId="209"/>
    <cellStyle name="Обычный_BOPENGC" xfId="210"/>
    <cellStyle name="ПРОЦЕНТНЫЙ_BOPENGC" xfId="211"/>
    <cellStyle name="ТЕКСТ" xfId="212"/>
    <cellStyle name="ТЕКСТ 2" xfId="213"/>
    <cellStyle name="ТЕКСТ 3" xfId="214"/>
    <cellStyle name="ТЕКСТ_Historico" xfId="215"/>
    <cellStyle name="ФИКСИРОВАННЫЙ" xfId="216"/>
    <cellStyle name="ФИКСИРОВАННЫЙ 2" xfId="217"/>
    <cellStyle name="ФИКСИРОВАННЫЙ 3" xfId="218"/>
    <cellStyle name="ФИКСИРОВАННЫЙ_Historico" xfId="219"/>
    <cellStyle name="ФИНАНСОВЫЙ_BOPENGC" xfId="2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72690012383223257"/>
        </c:manualLayout>
      </c:layout>
      <c:bar3DChart>
        <c:barDir val="col"/>
        <c:grouping val="clustered"/>
        <c:ser>
          <c:idx val="0"/>
          <c:order val="0"/>
          <c:tx>
            <c:strRef>
              <c:f>'Histórico Mpios'!$A$6</c:f>
              <c:strCache>
                <c:ptCount val="1"/>
                <c:pt idx="0">
                  <c:v>INGRESOS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Mpios'!$F$6:$I$6</c:f>
              <c:numCache>
                <c:formatCode>_(* #,##0_);_(* \(#,##0\);_(* "-"??_);_(@_)</c:formatCode>
                <c:ptCount val="4"/>
                <c:pt idx="0">
                  <c:v>4327658.7752188155</c:v>
                </c:pt>
                <c:pt idx="1">
                  <c:v>5843873.7855000002</c:v>
                </c:pt>
                <c:pt idx="2">
                  <c:v>8509392.4760999996</c:v>
                </c:pt>
                <c:pt idx="3">
                  <c:v>8694661</c:v>
                </c:pt>
              </c:numCache>
            </c:numRef>
          </c:val>
          <c:shape val="cylinder"/>
        </c:ser>
        <c:ser>
          <c:idx val="1"/>
          <c:order val="1"/>
          <c:tx>
            <c:strRef>
              <c:f>'Histórico Mpios'!$A$17</c:f>
              <c:strCache>
                <c:ptCount val="1"/>
                <c:pt idx="0">
                  <c:v>GASTOS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Mpios'!$F$17:$I$17</c:f>
              <c:numCache>
                <c:formatCode>_(* #,##0_);_(* \(#,##0\);_(* "-"??_);_(@_)</c:formatCode>
                <c:ptCount val="4"/>
                <c:pt idx="0">
                  <c:v>931099.20434741699</c:v>
                </c:pt>
                <c:pt idx="1">
                  <c:v>1037401.38054</c:v>
                </c:pt>
                <c:pt idx="2">
                  <c:v>1082188.3029</c:v>
                </c:pt>
                <c:pt idx="3">
                  <c:v>1170839</c:v>
                </c:pt>
              </c:numCache>
            </c:numRef>
          </c:val>
          <c:shape val="cylinder"/>
        </c:ser>
        <c:gapWidth val="20"/>
        <c:shape val="box"/>
        <c:axId val="92180864"/>
        <c:axId val="92182400"/>
        <c:axId val="0"/>
      </c:bar3DChart>
      <c:catAx>
        <c:axId val="92180864"/>
        <c:scaling>
          <c:orientation val="minMax"/>
        </c:scaling>
        <c:axPos val="b"/>
        <c:numFmt formatCode="General" sourceLinked="1"/>
        <c:tickLblPos val="low"/>
        <c:txPr>
          <a:bodyPr rot="0" vert="horz"/>
          <a:lstStyle/>
          <a:p>
            <a:pPr>
              <a:defRPr lang="es-ES"/>
            </a:pPr>
            <a:endParaRPr lang="es-CO"/>
          </a:p>
        </c:txPr>
        <c:crossAx val="92182400"/>
        <c:crosses val="autoZero"/>
        <c:auto val="1"/>
        <c:lblAlgn val="ctr"/>
        <c:lblOffset val="100"/>
        <c:tickLblSkip val="1"/>
        <c:tickMarkSkip val="1"/>
      </c:catAx>
      <c:valAx>
        <c:axId val="92182400"/>
        <c:scaling>
          <c:orientation val="minMax"/>
          <c:min val="0"/>
        </c:scaling>
        <c:axPos val="l"/>
        <c:majorGridlines/>
        <c:title>
          <c:tx>
            <c:rich>
              <a:bodyPr/>
              <a:lstStyle/>
              <a:p>
                <a:pPr>
                  <a:defRPr lang="es-ES"/>
                </a:pPr>
                <a:r>
                  <a:rPr lang="es-CO"/>
                  <a:t>Mill $ Constantes, 2010</a:t>
                </a:r>
              </a:p>
            </c:rich>
          </c:tx>
          <c:layout>
            <c:manualLayout>
              <c:xMode val="edge"/>
              <c:yMode val="edge"/>
              <c:x val="9.3159820990966133E-3"/>
              <c:y val="0.28313253012048195"/>
            </c:manualLayout>
          </c:layout>
        </c:title>
        <c:numFmt formatCode="_(* #,##0_);_(* \(#,##0\);_(* &quot;-&quot;??_);_(@_)" sourceLinked="1"/>
        <c:tickLblPos val="nextTo"/>
        <c:txPr>
          <a:bodyPr rot="0" vert="horz"/>
          <a:lstStyle/>
          <a:p>
            <a:pPr>
              <a:defRPr lang="es-ES"/>
            </a:pPr>
            <a:endParaRPr lang="es-CO"/>
          </a:p>
        </c:txPr>
        <c:crossAx val="92180864"/>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099" r="0.75000000000001099"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86721550895247002"/>
        </c:manualLayout>
      </c:layout>
      <c:lineChart>
        <c:grouping val="standard"/>
        <c:ser>
          <c:idx val="2"/>
          <c:order val="0"/>
          <c:tx>
            <c:strRef>
              <c:f>'Histórico Deptos'!$A$29</c:f>
              <c:strCache>
                <c:ptCount val="1"/>
                <c:pt idx="0">
                  <c:v>3  (DESAHORRO)/AHORRO CORRIENTE</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Deptos'!$F$40:$I$40</c:f>
              <c:numCache>
                <c:formatCode>_(* #,##0_);_(* \(#,##0\);_(* "-"??_);_(@_)</c:formatCode>
                <c:ptCount val="4"/>
                <c:pt idx="0">
                  <c:v>0</c:v>
                </c:pt>
                <c:pt idx="1">
                  <c:v>0</c:v>
                </c:pt>
                <c:pt idx="2">
                  <c:v>0</c:v>
                </c:pt>
                <c:pt idx="3">
                  <c:v>0</c:v>
                </c:pt>
              </c:numCache>
            </c:numRef>
          </c:val>
          <c:smooth val="1"/>
        </c:ser>
        <c:marker val="1"/>
        <c:axId val="103263232"/>
        <c:axId val="103281408"/>
      </c:lineChart>
      <c:catAx>
        <c:axId val="103263232"/>
        <c:scaling>
          <c:orientation val="minMax"/>
        </c:scaling>
        <c:axPos val="b"/>
        <c:numFmt formatCode="General" sourceLinked="1"/>
        <c:tickLblPos val="nextTo"/>
        <c:txPr>
          <a:bodyPr rot="0" vert="horz"/>
          <a:lstStyle/>
          <a:p>
            <a:pPr>
              <a:defRPr lang="es-ES" sz="1400"/>
            </a:pPr>
            <a:endParaRPr lang="es-CO"/>
          </a:p>
        </c:txPr>
        <c:crossAx val="103281408"/>
        <c:crosses val="autoZero"/>
        <c:auto val="1"/>
        <c:lblAlgn val="ctr"/>
        <c:lblOffset val="100"/>
        <c:tickLblSkip val="1"/>
        <c:tickMarkSkip val="1"/>
      </c:catAx>
      <c:valAx>
        <c:axId val="103281408"/>
        <c:scaling>
          <c:orientation val="minMax"/>
        </c:scaling>
        <c:axPos val="l"/>
        <c:title>
          <c:tx>
            <c:rich>
              <a:bodyPr/>
              <a:lstStyle/>
              <a:p>
                <a:pPr>
                  <a:defRPr lang="es-ES"/>
                </a:pPr>
                <a:r>
                  <a:rPr lang="es-CO"/>
                  <a:t>Mill $ Constantes, 2009</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3263232"/>
        <c:crosses val="autoZero"/>
        <c:crossBetween val="between"/>
      </c:valAx>
    </c:plotArea>
    <c:legend>
      <c:legendPos val="r"/>
      <c:layout>
        <c:manualLayout>
          <c:xMode val="edge"/>
          <c:yMode val="edge"/>
          <c:x val="1.0818634423005864E-2"/>
          <c:y val="0.91758618407992265"/>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055" r="0.75000000000001055"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351"/>
          <c:h val="0.80352755905511808"/>
        </c:manualLayout>
      </c:layout>
      <c:bar3DChart>
        <c:barDir val="col"/>
        <c:grouping val="stacked"/>
        <c:ser>
          <c:idx val="3"/>
          <c:order val="0"/>
          <c:tx>
            <c:strRef>
              <c:f>'Histórico Deptos'!$A$23</c:f>
              <c:strCache>
                <c:ptCount val="1"/>
                <c:pt idx="0">
                  <c:v>2.1.1.1  SERVICIOS PERSONALES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Deptos'!$F$25:$I$25</c:f>
              <c:numCache>
                <c:formatCode>_(* #,##0_);_(* \(#,##0\);_(* "-"??_);_(@_)</c:formatCode>
                <c:ptCount val="4"/>
                <c:pt idx="0">
                  <c:v>0</c:v>
                </c:pt>
                <c:pt idx="1">
                  <c:v>0</c:v>
                </c:pt>
                <c:pt idx="2">
                  <c:v>0</c:v>
                </c:pt>
                <c:pt idx="3">
                  <c:v>0</c:v>
                </c:pt>
              </c:numCache>
            </c:numRef>
          </c:val>
        </c:ser>
        <c:gapWidth val="70"/>
        <c:shape val="cylinder"/>
        <c:axId val="103329152"/>
        <c:axId val="103339136"/>
        <c:axId val="0"/>
      </c:bar3DChart>
      <c:catAx>
        <c:axId val="103329152"/>
        <c:scaling>
          <c:orientation val="minMax"/>
        </c:scaling>
        <c:axPos val="b"/>
        <c:numFmt formatCode="General" sourceLinked="1"/>
        <c:tickLblPos val="low"/>
        <c:txPr>
          <a:bodyPr rot="0" vert="horz"/>
          <a:lstStyle/>
          <a:p>
            <a:pPr>
              <a:defRPr lang="es-ES" sz="1400"/>
            </a:pPr>
            <a:endParaRPr lang="es-CO"/>
          </a:p>
        </c:txPr>
        <c:crossAx val="103339136"/>
        <c:crosses val="autoZero"/>
        <c:auto val="1"/>
        <c:lblAlgn val="ctr"/>
        <c:lblOffset val="100"/>
        <c:tickLblSkip val="1"/>
        <c:tickMarkSkip val="1"/>
      </c:catAx>
      <c:valAx>
        <c:axId val="103339136"/>
        <c:scaling>
          <c:orientation val="minMax"/>
        </c:scaling>
        <c:axPos val="l"/>
        <c:title>
          <c:tx>
            <c:rich>
              <a:bodyPr/>
              <a:lstStyle/>
              <a:p>
                <a:pPr>
                  <a:defRPr lang="es-ES"/>
                </a:pPr>
                <a:r>
                  <a:rPr lang="es-CO"/>
                  <a:t>Mill $ Constantes, 2009</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3329152"/>
        <c:crosses val="autoZero"/>
        <c:crossBetween val="between"/>
      </c:valAx>
    </c:plotArea>
    <c:legend>
      <c:legendPos val="r"/>
      <c:layout>
        <c:manualLayout>
          <c:xMode val="edge"/>
          <c:yMode val="edge"/>
          <c:x val="0"/>
          <c:y val="0.85987748565327882"/>
          <c:w val="1"/>
          <c:h val="0.12995302282130039"/>
        </c:manualLayout>
      </c:layout>
      <c:txPr>
        <a:bodyPr/>
        <a:lstStyle/>
        <a:p>
          <a:pPr>
            <a:defRPr lang="es-ES" sz="1200"/>
          </a:pPr>
          <a:endParaRPr lang="es-CO"/>
        </a:p>
      </c:txPr>
    </c:legend>
    <c:plotVisOnly val="1"/>
    <c:dispBlanksAs val="gap"/>
  </c:chart>
  <c:printSettings>
    <c:headerFooter alignWithMargins="0"/>
    <c:pageMargins b="1" l="0.75000000000001055" r="0.7500000000000105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841"/>
        </c:manualLayout>
      </c:layout>
      <c:bar3DChart>
        <c:barDir val="col"/>
        <c:grouping val="clustered"/>
        <c:ser>
          <c:idx val="0"/>
          <c:order val="0"/>
          <c:tx>
            <c:strRef>
              <c:f>'Histórico Deptos'!$A$49</c:f>
              <c:strCache>
                <c:ptCount val="1"/>
                <c:pt idx="0">
                  <c:v>SALDO DE DEUDA FINANCIERA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78"/>
                </c:manualLayout>
              </c:layout>
              <c:showVal val="1"/>
            </c:dLbl>
            <c:dLbl>
              <c:idx val="5"/>
              <c:layout>
                <c:manualLayout>
                  <c:x val="-0.29549416134226469"/>
                  <c:y val="-0.49685571822245794"/>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751"/>
                </c:manualLayout>
              </c:layout>
              <c:showVal val="1"/>
            </c:dLbl>
            <c:dLbl>
              <c:idx val="8"/>
              <c:layout>
                <c:manualLayout>
                  <c:xMode val="edge"/>
                  <c:yMode val="edge"/>
                  <c:x val="0.65559440559442106"/>
                  <c:y val="0.38662790697675287"/>
                </c:manualLayout>
              </c:layout>
              <c:showVal val="1"/>
            </c:dLbl>
            <c:numFmt formatCode="_ * #,##0_ ;_ * \-#,##0_ ;_ * &quot;-&quot;??_ ;_ @_ " sourceLinked="0"/>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Deptos'!$F$49:$I$49</c:f>
              <c:numCache>
                <c:formatCode>_(* #,##0_);_(* \(#,##0\);_(* "-"??_);_(@_)</c:formatCode>
                <c:ptCount val="4"/>
                <c:pt idx="0">
                  <c:v>0</c:v>
                </c:pt>
                <c:pt idx="1">
                  <c:v>0</c:v>
                </c:pt>
                <c:pt idx="2">
                  <c:v>0</c:v>
                </c:pt>
                <c:pt idx="3">
                  <c:v>0</c:v>
                </c:pt>
              </c:numCache>
            </c:numRef>
          </c:val>
          <c:shape val="cylinder"/>
        </c:ser>
        <c:gapWidth val="20"/>
        <c:shape val="box"/>
        <c:axId val="103376384"/>
        <c:axId val="103377920"/>
        <c:axId val="0"/>
      </c:bar3DChart>
      <c:catAx>
        <c:axId val="103376384"/>
        <c:scaling>
          <c:orientation val="minMax"/>
        </c:scaling>
        <c:axPos val="b"/>
        <c:numFmt formatCode="General" sourceLinked="1"/>
        <c:tickLblPos val="low"/>
        <c:txPr>
          <a:bodyPr rot="0" vert="horz"/>
          <a:lstStyle/>
          <a:p>
            <a:pPr>
              <a:defRPr lang="es-ES" sz="1400"/>
            </a:pPr>
            <a:endParaRPr lang="es-CO"/>
          </a:p>
        </c:txPr>
        <c:crossAx val="103377920"/>
        <c:crosses val="autoZero"/>
        <c:auto val="1"/>
        <c:lblAlgn val="ctr"/>
        <c:lblOffset val="100"/>
        <c:tickLblSkip val="1"/>
        <c:tickMarkSkip val="1"/>
      </c:catAx>
      <c:valAx>
        <c:axId val="103377920"/>
        <c:scaling>
          <c:orientation val="minMax"/>
        </c:scaling>
        <c:axPos val="l"/>
        <c:title>
          <c:tx>
            <c:rich>
              <a:bodyPr/>
              <a:lstStyle/>
              <a:p>
                <a:pPr>
                  <a:defRPr lang="es-ES"/>
                </a:pPr>
                <a:r>
                  <a:rPr lang="es-CO"/>
                  <a:t>Mill $ Constantes, 2009</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3376384"/>
        <c:crosses val="autoZero"/>
        <c:crossBetween val="between"/>
      </c:valAx>
    </c:plotArea>
    <c:plotVisOnly val="1"/>
    <c:dispBlanksAs val="gap"/>
  </c:chart>
  <c:printSettings>
    <c:headerFooter alignWithMargins="0"/>
    <c:pageMargins b="1" l="0.75000000000001055" r="0.7500000000000105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774"/>
          <c:h val="0.75864474363462986"/>
        </c:manualLayout>
      </c:layout>
      <c:lineChart>
        <c:grouping val="standard"/>
        <c:ser>
          <c:idx val="0"/>
          <c:order val="0"/>
          <c:tx>
            <c:strRef>
              <c:f>'Histórico Deptos'!$A$9</c:f>
              <c:strCache>
                <c:ptCount val="1"/>
                <c:pt idx="0">
                  <c:v>1.1.1.1  CERVEZA</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Deptos'!$F$5:$I$5</c:f>
              <c:strCache>
                <c:ptCount val="4"/>
                <c:pt idx="0">
                  <c:v>2007</c:v>
                </c:pt>
                <c:pt idx="1">
                  <c:v>2008</c:v>
                </c:pt>
                <c:pt idx="2">
                  <c:v>2009</c:v>
                </c:pt>
                <c:pt idx="3">
                  <c:v>2010</c:v>
                </c:pt>
              </c:strCache>
            </c:str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strRef>
              <c:f>'Histórico Deptos'!$F$5:$I$5</c:f>
              <c:strCache>
                <c:ptCount val="4"/>
                <c:pt idx="0">
                  <c:v>2007</c:v>
                </c:pt>
                <c:pt idx="1">
                  <c:v>2008</c:v>
                </c:pt>
                <c:pt idx="2">
                  <c:v>2009</c:v>
                </c:pt>
                <c:pt idx="3">
                  <c:v>2010</c:v>
                </c:pt>
              </c:strCache>
            </c:str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strRef>
              <c:f>'Histórico Deptos'!$F$5:$I$5</c:f>
              <c:strCache>
                <c:ptCount val="4"/>
                <c:pt idx="0">
                  <c:v>2007</c:v>
                </c:pt>
                <c:pt idx="1">
                  <c:v>2008</c:v>
                </c:pt>
                <c:pt idx="2">
                  <c:v>2009</c:v>
                </c:pt>
                <c:pt idx="3">
                  <c:v>2010</c:v>
                </c:pt>
              </c:strCache>
            </c:strRef>
          </c:cat>
          <c:val>
            <c:numRef>
              <c:f>'Histórico Deptos'!$F$13:$I$13</c:f>
              <c:numCache>
                <c:formatCode>_(* #,##0_);_(* \(#,##0\);_(* "-"??_);_(@_)</c:formatCode>
                <c:ptCount val="4"/>
                <c:pt idx="0">
                  <c:v>0</c:v>
                </c:pt>
                <c:pt idx="1">
                  <c:v>0</c:v>
                </c:pt>
                <c:pt idx="2">
                  <c:v>0</c:v>
                </c:pt>
                <c:pt idx="3">
                  <c:v>0</c:v>
                </c:pt>
              </c:numCache>
            </c:numRef>
          </c:val>
        </c:ser>
        <c:ser>
          <c:idx val="5"/>
          <c:order val="5"/>
          <c:tx>
            <c:strRef>
              <c:f>'Histórico Deptos'!$A$14</c:f>
              <c:strCache>
                <c:ptCount val="1"/>
                <c:pt idx="0">
                  <c:v>1.1.1.6  SOBRETASA A LA GASOLINA</c:v>
                </c:pt>
              </c:strCache>
            </c:strRef>
          </c:tx>
          <c:marker>
            <c:symbol val="none"/>
          </c:marker>
          <c:cat>
            <c:strRef>
              <c:f>'Histórico Deptos'!$F$5:$I$5</c:f>
              <c:strCache>
                <c:ptCount val="4"/>
                <c:pt idx="0">
                  <c:v>2007</c:v>
                </c:pt>
                <c:pt idx="1">
                  <c:v>2008</c:v>
                </c:pt>
                <c:pt idx="2">
                  <c:v>2009</c:v>
                </c:pt>
                <c:pt idx="3">
                  <c:v>2010</c:v>
                </c:pt>
              </c:strCache>
            </c:strRef>
          </c:cat>
          <c:val>
            <c:numRef>
              <c:f>'Histórico Deptos'!$F$14:$I$14</c:f>
              <c:numCache>
                <c:formatCode>_(* #,##0_);_(* \(#,##0\);_(* "-"??_);_(@_)</c:formatCode>
                <c:ptCount val="4"/>
                <c:pt idx="0">
                  <c:v>0</c:v>
                </c:pt>
                <c:pt idx="1">
                  <c:v>0</c:v>
                </c:pt>
                <c:pt idx="2">
                  <c:v>0</c:v>
                </c:pt>
                <c:pt idx="3">
                  <c:v>0</c:v>
                </c:pt>
              </c:numCache>
            </c:numRef>
          </c:val>
        </c:ser>
        <c:ser>
          <c:idx val="6"/>
          <c:order val="6"/>
          <c:tx>
            <c:strRef>
              <c:f>'Histórico Deptos'!$A$15</c:f>
              <c:strCache>
                <c:ptCount val="1"/>
                <c:pt idx="0">
                  <c:v>1.1.1.7  OTROS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Deptos'!$F$15:$I$15</c:f>
              <c:numCache>
                <c:formatCode>_(* #,##0_);_(* \(#,##0\);_(* "-"??_);_(@_)</c:formatCode>
                <c:ptCount val="4"/>
                <c:pt idx="0">
                  <c:v>0</c:v>
                </c:pt>
                <c:pt idx="1">
                  <c:v>0</c:v>
                </c:pt>
                <c:pt idx="2">
                  <c:v>0</c:v>
                </c:pt>
                <c:pt idx="3">
                  <c:v>0</c:v>
                </c:pt>
              </c:numCache>
            </c:numRef>
          </c:val>
        </c:ser>
        <c:marker val="1"/>
        <c:axId val="103474304"/>
        <c:axId val="103475840"/>
      </c:lineChart>
      <c:catAx>
        <c:axId val="103474304"/>
        <c:scaling>
          <c:orientation val="minMax"/>
        </c:scaling>
        <c:axPos val="b"/>
        <c:numFmt formatCode="General" sourceLinked="1"/>
        <c:tickLblPos val="low"/>
        <c:txPr>
          <a:bodyPr rot="0" vert="horz"/>
          <a:lstStyle/>
          <a:p>
            <a:pPr>
              <a:defRPr lang="es-ES" sz="1100"/>
            </a:pPr>
            <a:endParaRPr lang="es-CO"/>
          </a:p>
        </c:txPr>
        <c:crossAx val="103475840"/>
        <c:crosses val="autoZero"/>
        <c:auto val="1"/>
        <c:lblAlgn val="ctr"/>
        <c:lblOffset val="100"/>
        <c:tickLblSkip val="1"/>
        <c:tickMarkSkip val="1"/>
      </c:catAx>
      <c:valAx>
        <c:axId val="103475840"/>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3474304"/>
        <c:crosses val="autoZero"/>
        <c:crossBetween val="between"/>
      </c:valAx>
    </c:plotArea>
    <c:legend>
      <c:legendPos val="r"/>
      <c:layout>
        <c:manualLayout>
          <c:xMode val="edge"/>
          <c:yMode val="edge"/>
          <c:x val="2.7058146229130692E-2"/>
          <c:y val="0.85423802431628981"/>
          <c:w val="0.96427182353501728"/>
          <c:h val="0.14320802888928091"/>
        </c:manualLayout>
      </c:layout>
      <c:txPr>
        <a:bodyPr/>
        <a:lstStyle/>
        <a:p>
          <a:pPr>
            <a:defRPr lang="es-ES" sz="1100"/>
          </a:pPr>
          <a:endParaRPr lang="es-CO"/>
        </a:p>
      </c:txPr>
    </c:legend>
    <c:plotVisOnly val="1"/>
    <c:dispBlanksAs val="gap"/>
  </c:chart>
  <c:printSettings>
    <c:headerFooter alignWithMargins="0"/>
    <c:pageMargins b="1" l="0.75000000000001055" r="0.75000000000001055"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4860864416814684"/>
          <c:y val="2.0160315669468611E-2"/>
          <c:w val="0.8164594434576673"/>
          <c:h val="0.86672794182797652"/>
        </c:manualLayout>
      </c:layout>
      <c:bar3DChart>
        <c:barDir val="col"/>
        <c:grouping val="clustered"/>
        <c:ser>
          <c:idx val="0"/>
          <c:order val="0"/>
          <c:tx>
            <c:strRef>
              <c:f>'Histórico Deptos'!$A$7</c:f>
              <c:strCache>
                <c:ptCount val="1"/>
                <c:pt idx="0">
                  <c:v>1.1  INGRESOS CORRIENTES</c:v>
                </c:pt>
              </c:strCache>
            </c:strRef>
          </c:tx>
          <c:dLbls>
            <c:dLbl>
              <c:idx val="0"/>
              <c:layout>
                <c:manualLayout>
                  <c:x val="8.2944530844997408E-3"/>
                  <c:y val="-2.7006751687922066E-2"/>
                </c:manualLayout>
              </c:layout>
              <c:showVal val="1"/>
            </c:dLbl>
            <c:dLbl>
              <c:idx val="1"/>
              <c:layout>
                <c:manualLayout>
                  <c:x val="0"/>
                  <c:y val="-3.3008252063015782E-2"/>
                </c:manualLayout>
              </c:layout>
              <c:showVal val="1"/>
            </c:dLbl>
            <c:dLbl>
              <c:idx val="2"/>
              <c:layout>
                <c:manualLayout>
                  <c:x val="0"/>
                  <c:y val="-1.8004501125281343E-2"/>
                </c:manualLayout>
              </c:layout>
              <c:showVal val="1"/>
            </c:dLbl>
            <c:dLbl>
              <c:idx val="3"/>
              <c:layout>
                <c:manualLayout>
                  <c:x val="6.2208398133748134E-3"/>
                  <c:y val="-3.0007501875468842E-2"/>
                </c:manualLayout>
              </c:layout>
              <c:showVal val="1"/>
            </c:dLbl>
            <c:txPr>
              <a:bodyPr anchor="t" anchorCtr="0"/>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dLbls>
            <c:dLbl>
              <c:idx val="0"/>
              <c:layout>
                <c:manualLayout>
                  <c:x val="1.6588906168999443E-2"/>
                  <c:y val="-1.2003000750187561E-2"/>
                </c:manualLayout>
              </c:layout>
              <c:showVal val="1"/>
            </c:dLbl>
            <c:dLbl>
              <c:idx val="1"/>
              <c:layout>
                <c:manualLayout>
                  <c:x val="1.2441679626749623E-2"/>
                  <c:y val="-1.8004501125281385E-2"/>
                </c:manualLayout>
              </c:layout>
              <c:showVal val="1"/>
            </c:dLbl>
            <c:dLbl>
              <c:idx val="2"/>
              <c:layout>
                <c:manualLayout>
                  <c:x val="1.6588906168999558E-2"/>
                  <c:y val="-9.0022505626406943E-3"/>
                </c:manualLayout>
              </c:layout>
              <c:showVal val="1"/>
            </c:dLbl>
            <c:dLbl>
              <c:idx val="3"/>
              <c:layout>
                <c:manualLayout>
                  <c:x val="1.4515292897874491E-2"/>
                  <c:y val="-2.4006001500375185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gapWidth val="20"/>
        <c:shape val="box"/>
        <c:axId val="103515264"/>
        <c:axId val="103516800"/>
        <c:axId val="0"/>
      </c:bar3DChart>
      <c:catAx>
        <c:axId val="103515264"/>
        <c:scaling>
          <c:orientation val="minMax"/>
        </c:scaling>
        <c:axPos val="b"/>
        <c:numFmt formatCode="General" sourceLinked="1"/>
        <c:tickLblPos val="low"/>
        <c:txPr>
          <a:bodyPr rot="0" vert="horz"/>
          <a:lstStyle/>
          <a:p>
            <a:pPr>
              <a:defRPr lang="es-ES" sz="1400"/>
            </a:pPr>
            <a:endParaRPr lang="es-CO"/>
          </a:p>
        </c:txPr>
        <c:crossAx val="103516800"/>
        <c:crosses val="autoZero"/>
        <c:auto val="1"/>
        <c:lblAlgn val="ctr"/>
        <c:lblOffset val="100"/>
        <c:tickLblSkip val="1"/>
        <c:tickMarkSkip val="1"/>
      </c:catAx>
      <c:valAx>
        <c:axId val="103516800"/>
        <c:scaling>
          <c:orientation val="minMax"/>
          <c:min val="0"/>
        </c:scaling>
        <c:axPos val="l"/>
        <c:title>
          <c:tx>
            <c:rich>
              <a:bodyPr/>
              <a:lstStyle/>
              <a:p>
                <a:pPr>
                  <a:defRPr lang="es-ES" sz="1100"/>
                </a:pPr>
                <a:r>
                  <a:rPr lang="es-CO" sz="1100" b="1" i="0" baseline="0"/>
                  <a:t>Mill $ Constantes, 2010</a:t>
                </a:r>
                <a:endParaRPr lang="es-ES" sz="1100"/>
              </a:p>
            </c:rich>
          </c:tx>
          <c:layout>
            <c:manualLayout>
              <c:xMode val="edge"/>
              <c:yMode val="edge"/>
              <c:x val="1.0065127294257393E-2"/>
              <c:y val="0.29202099737533754"/>
            </c:manualLayout>
          </c:layout>
        </c:title>
        <c:numFmt formatCode="_(* #,##0_);_(* \(#,##0\);_(* &quot;-&quot;??_);_(@_)" sourceLinked="1"/>
        <c:tickLblPos val="nextTo"/>
        <c:txPr>
          <a:bodyPr rot="0" vert="horz"/>
          <a:lstStyle/>
          <a:p>
            <a:pPr>
              <a:defRPr lang="es-ES"/>
            </a:pPr>
            <a:endParaRPr lang="es-CO"/>
          </a:p>
        </c:txPr>
        <c:crossAx val="103515264"/>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055" r="0.7500000000000105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pie3DChart>
        <c:varyColors val="1"/>
        <c:ser>
          <c:idx val="0"/>
          <c:order val="0"/>
          <c:dLbls>
            <c:dLbl>
              <c:idx val="0"/>
              <c:layout>
                <c:manualLayout>
                  <c:x val="-4.4958989501312392E-2"/>
                  <c:y val="-0.23853054826480025"/>
                </c:manualLayout>
              </c:layout>
              <c:showLegendKey val="1"/>
              <c:showVal val="1"/>
              <c:showCatName val="1"/>
            </c:dLbl>
            <c:dLbl>
              <c:idx val="1"/>
              <c:layout>
                <c:manualLayout>
                  <c:x val="0.30934098862642267"/>
                  <c:y val="-2.249817731116957E-2"/>
                </c:manualLayout>
              </c:layout>
              <c:showLegendKey val="1"/>
              <c:showVal val="1"/>
              <c:showCatName val="1"/>
            </c:dLbl>
            <c:dLbl>
              <c:idx val="2"/>
              <c:layout>
                <c:manualLayout>
                  <c:x val="0.10586909448818939"/>
                  <c:y val="8.6424613589967947E-3"/>
                </c:manualLayout>
              </c:layout>
              <c:showLegendKey val="1"/>
              <c:showVal val="1"/>
              <c:showCatName val="1"/>
            </c:dLbl>
            <c:dLbl>
              <c:idx val="3"/>
              <c:layout>
                <c:manualLayout>
                  <c:x val="-1.286034558180228E-2"/>
                  <c:y val="5.4203120443277922E-2"/>
                </c:manualLayout>
              </c:layout>
              <c:showLegendKey val="1"/>
              <c:showVal val="1"/>
              <c:showCatName val="1"/>
            </c:dLbl>
            <c:dLbl>
              <c:idx val="4"/>
              <c:layout>
                <c:manualLayout>
                  <c:x val="-1.3200678040244969E-2"/>
                  <c:y val="-8.5362715077282006E-2"/>
                </c:manualLayout>
              </c:layout>
              <c:showLegendKey val="1"/>
              <c:showVal val="1"/>
              <c:showCatName val="1"/>
            </c:dLbl>
            <c:dLbl>
              <c:idx val="6"/>
              <c:layout>
                <c:manualLayout>
                  <c:x val="0.22834098862642244"/>
                  <c:y val="-0.13825495771361912"/>
                </c:manualLayout>
              </c:layout>
              <c:showLegendKey val="1"/>
              <c:showVal val="1"/>
              <c:showCatName val="1"/>
            </c:dLbl>
            <c:txPr>
              <a:bodyPr/>
              <a:lstStyle/>
              <a:p>
                <a:pPr>
                  <a:defRPr lang="es-ES"/>
                </a:pPr>
                <a:endParaRPr lang="es-CO"/>
              </a:p>
            </c:txPr>
            <c:showLegendKey val="1"/>
            <c:showVal val="1"/>
            <c:showCatName val="1"/>
            <c:showLeaderLines val="1"/>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pie3DChart>
    </c:plotArea>
    <c:plotVisOnly val="1"/>
  </c:chart>
  <c:spPr>
    <a:ln cmpd="sng"/>
  </c:sp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861012956419565"/>
          <c:h val="0.72305512179438425"/>
        </c:manualLayout>
      </c:layout>
      <c:bar3DChart>
        <c:barDir val="col"/>
        <c:grouping val="clustered"/>
        <c:ser>
          <c:idx val="0"/>
          <c:order val="0"/>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931099.20434741699</c:v>
                </c:pt>
                <c:pt idx="1">
                  <c:v>1037401.38054</c:v>
                </c:pt>
                <c:pt idx="2">
                  <c:v>1082188.3029</c:v>
                </c:pt>
                <c:pt idx="3">
                  <c:v>1170839</c:v>
                </c:pt>
              </c:numCache>
            </c:numRef>
          </c:val>
          <c:shape val="cylinder"/>
        </c:ser>
        <c:ser>
          <c:idx val="1"/>
          <c:order val="1"/>
          <c:tx>
            <c:strRef>
              <c:f>'Histórico Mpios'!$A$30</c:f>
              <c:strCache>
                <c:ptCount val="1"/>
                <c:pt idx="0">
                  <c:v>4.   GASTOS DE CAPITAL (INVERSION)</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Mpios'!$F$30:$I$30</c:f>
              <c:numCache>
                <c:formatCode>_(* #,##0_);_(* \(#,##0\);_(* "-"??_);_(@_)</c:formatCode>
                <c:ptCount val="4"/>
                <c:pt idx="0">
                  <c:v>0</c:v>
                </c:pt>
                <c:pt idx="1">
                  <c:v>0</c:v>
                </c:pt>
                <c:pt idx="2">
                  <c:v>0</c:v>
                </c:pt>
                <c:pt idx="3">
                  <c:v>0</c:v>
                </c:pt>
              </c:numCache>
            </c:numRef>
          </c:val>
          <c:shape val="cylinder"/>
        </c:ser>
        <c:gapWidth val="10"/>
        <c:shape val="box"/>
        <c:axId val="92200320"/>
        <c:axId val="102589568"/>
        <c:axId val="0"/>
      </c:bar3DChart>
      <c:catAx>
        <c:axId val="92200320"/>
        <c:scaling>
          <c:orientation val="minMax"/>
        </c:scaling>
        <c:axPos val="b"/>
        <c:numFmt formatCode="General" sourceLinked="1"/>
        <c:tickLblPos val="low"/>
        <c:txPr>
          <a:bodyPr rot="0" vert="horz"/>
          <a:lstStyle/>
          <a:p>
            <a:pPr>
              <a:defRPr lang="es-ES"/>
            </a:pPr>
            <a:endParaRPr lang="es-CO"/>
          </a:p>
        </c:txPr>
        <c:crossAx val="102589568"/>
        <c:crosses val="autoZero"/>
        <c:auto val="1"/>
        <c:lblAlgn val="ctr"/>
        <c:lblOffset val="100"/>
        <c:tickLblSkip val="1"/>
        <c:tickMarkSkip val="1"/>
      </c:catAx>
      <c:valAx>
        <c:axId val="102589568"/>
        <c:scaling>
          <c:orientation val="minMax"/>
        </c:scaling>
        <c:axPos val="l"/>
        <c:majorGridlines/>
        <c:title>
          <c:tx>
            <c:rich>
              <a:bodyPr/>
              <a:lstStyle/>
              <a:p>
                <a:pPr>
                  <a:defRPr lang="es-ES"/>
                </a:pPr>
                <a:r>
                  <a:rPr lang="es-CO"/>
                  <a:t>Mill $ Constantes, 2010</a:t>
                </a:r>
              </a:p>
            </c:rich>
          </c:tx>
          <c:layout>
            <c:manualLayout>
              <c:xMode val="edge"/>
              <c:yMode val="edge"/>
              <c:x val="2.1201413427562751E-2"/>
              <c:y val="0.24550929636790025"/>
            </c:manualLayout>
          </c:layout>
        </c:title>
        <c:numFmt formatCode="General" sourceLinked="0"/>
        <c:tickLblPos val="nextTo"/>
        <c:txPr>
          <a:bodyPr rot="0" vert="horz"/>
          <a:lstStyle/>
          <a:p>
            <a:pPr>
              <a:defRPr lang="es-ES"/>
            </a:pPr>
            <a:endParaRPr lang="es-CO"/>
          </a:p>
        </c:txPr>
        <c:crossAx val="92200320"/>
        <c:crosses val="autoZero"/>
        <c:crossBetween val="between"/>
      </c:valAx>
    </c:plotArea>
    <c:legend>
      <c:legendPos val="r"/>
      <c:layout>
        <c:manualLayout>
          <c:xMode val="edge"/>
          <c:yMode val="edge"/>
          <c:x val="1.353755692199252E-2"/>
          <c:y val="0.86145341490245009"/>
          <c:w val="0.97264110733635689"/>
          <c:h val="8.4302325581395568E-2"/>
        </c:manualLayout>
      </c:layout>
      <c:txPr>
        <a:bodyPr/>
        <a:lstStyle/>
        <a:p>
          <a:pPr>
            <a:defRPr lang="es-ES" sz="1400"/>
          </a:pPr>
          <a:endParaRPr lang="es-CO"/>
        </a:p>
      </c:txPr>
    </c:legend>
    <c:plotVisOnly val="1"/>
    <c:dispBlanksAs val="gap"/>
  </c:chart>
  <c:printSettings>
    <c:headerFooter alignWithMargins="0"/>
    <c:pageMargins b="1" l="0.75000000000001099" r="0.750000000000010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7913080023925978"/>
        </c:manualLayout>
      </c:layout>
      <c:lineChart>
        <c:grouping val="standard"/>
        <c:ser>
          <c:idx val="2"/>
          <c:order val="0"/>
          <c:tx>
            <c:strRef>
              <c:f>'Histórico Mpios'!$A$24</c:f>
              <c:strCache>
                <c:ptCount val="1"/>
                <c:pt idx="0">
                  <c:v>DESAHORRO / AHORRO CORRIENTE (1 - 3)</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Mpios'!$F$24:$I$24</c:f>
              <c:numCache>
                <c:formatCode>_(* #,##0_);_(* \(#,##0\);_(* "-"??_);_(@_)</c:formatCode>
                <c:ptCount val="4"/>
                <c:pt idx="0">
                  <c:v>435618.43921149481</c:v>
                </c:pt>
                <c:pt idx="1">
                  <c:v>1056649.621734</c:v>
                </c:pt>
                <c:pt idx="2">
                  <c:v>4163161.2348000002</c:v>
                </c:pt>
                <c:pt idx="3">
                  <c:v>2091782</c:v>
                </c:pt>
              </c:numCache>
            </c:numRef>
          </c:val>
          <c:smooth val="1"/>
        </c:ser>
        <c:ser>
          <c:idx val="3"/>
          <c:order val="1"/>
          <c:tx>
            <c:strRef>
              <c:f>'Histórico Mpios'!$A$33</c:f>
              <c:strCache>
                <c:ptCount val="1"/>
                <c:pt idx="0">
                  <c:v>DEFICIT O SUPERAVIT TOTAL (1 - 3 + 2 - 4)</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Mpios'!$F$33:$I$33</c:f>
              <c:numCache>
                <c:formatCode>_(* #,##0_);_(* \(#,##0\);_(* "-"??_);_(@_)</c:formatCode>
                <c:ptCount val="4"/>
                <c:pt idx="0">
                  <c:v>3396559.5708713983</c:v>
                </c:pt>
                <c:pt idx="1">
                  <c:v>4806472.40496</c:v>
                </c:pt>
                <c:pt idx="2">
                  <c:v>7427204.1732000001</c:v>
                </c:pt>
                <c:pt idx="3">
                  <c:v>7523822</c:v>
                </c:pt>
              </c:numCache>
            </c:numRef>
          </c:val>
          <c:smooth val="1"/>
        </c:ser>
        <c:marker val="1"/>
        <c:axId val="102615296"/>
        <c:axId val="102625280"/>
      </c:lineChart>
      <c:catAx>
        <c:axId val="102615296"/>
        <c:scaling>
          <c:orientation val="minMax"/>
        </c:scaling>
        <c:axPos val="b"/>
        <c:numFmt formatCode="General" sourceLinked="1"/>
        <c:tickLblPos val="nextTo"/>
        <c:txPr>
          <a:bodyPr rot="0" vert="horz"/>
          <a:lstStyle/>
          <a:p>
            <a:pPr>
              <a:defRPr lang="es-ES"/>
            </a:pPr>
            <a:endParaRPr lang="es-CO"/>
          </a:p>
        </c:txPr>
        <c:crossAx val="102625280"/>
        <c:crosses val="autoZero"/>
        <c:auto val="1"/>
        <c:lblAlgn val="ctr"/>
        <c:lblOffset val="100"/>
        <c:tickLblSkip val="1"/>
        <c:tickMarkSkip val="1"/>
      </c:catAx>
      <c:valAx>
        <c:axId val="102625280"/>
        <c:scaling>
          <c:orientation val="minMax"/>
        </c:scaling>
        <c:axPos val="l"/>
        <c:title>
          <c:tx>
            <c:rich>
              <a:bodyPr/>
              <a:lstStyle/>
              <a:p>
                <a:pPr>
                  <a:defRPr lang="es-ES"/>
                </a:pPr>
                <a:r>
                  <a:rPr lang="es-CO"/>
                  <a:t>Mill $ Constantes, 2010</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2615296"/>
        <c:crosses val="autoZero"/>
        <c:crossBetween val="between"/>
      </c:valAx>
    </c:plotArea>
    <c:legend>
      <c:legendPos val="r"/>
      <c:layout>
        <c:manualLayout>
          <c:xMode val="edge"/>
          <c:yMode val="edge"/>
          <c:x val="1.0818664731754938E-2"/>
          <c:y val="0.87556922051411334"/>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099" r="0.75000000000001099"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473"/>
          <c:h val="0.69844280234520062"/>
        </c:manualLayout>
      </c:layout>
      <c:bar3DChart>
        <c:barDir val="col"/>
        <c:grouping val="stacked"/>
        <c:ser>
          <c:idx val="3"/>
          <c:order val="0"/>
          <c:tx>
            <c:strRef>
              <c:f>'Histórico Mpios'!$A$20</c:f>
              <c:strCache>
                <c:ptCount val="1"/>
                <c:pt idx="0">
                  <c:v>3.1.1.  SERVICIOS PERSONALES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Mpios'!$F$20:$I$20</c:f>
              <c:numCache>
                <c:formatCode>_(* #,##0_);_(* \(#,##0\);_(* "-"??_);_(@_)</c:formatCode>
                <c:ptCount val="4"/>
                <c:pt idx="0">
                  <c:v>598222.1602459728</c:v>
                </c:pt>
                <c:pt idx="1">
                  <c:v>549991.8417600001</c:v>
                </c:pt>
                <c:pt idx="2">
                  <c:v>621650.83500000008</c:v>
                </c:pt>
                <c:pt idx="3">
                  <c:v>624551</c:v>
                </c:pt>
              </c:numCache>
            </c:numRef>
          </c:val>
        </c:ser>
        <c:ser>
          <c:idx val="2"/>
          <c:order val="1"/>
          <c:tx>
            <c:strRef>
              <c:f>'Histórico Mpios'!$A$21</c:f>
              <c:strCache>
                <c:ptCount val="1"/>
                <c:pt idx="0">
                  <c:v>3.1.2. GASTOS GENERALES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Mpios'!$F$21:$I$21</c:f>
              <c:numCache>
                <c:formatCode>_(* #,##0_);_(* \(#,##0\);_(* "-"??_);_(@_)</c:formatCode>
                <c:ptCount val="4"/>
                <c:pt idx="0">
                  <c:v>268611.693579846</c:v>
                </c:pt>
                <c:pt idx="1">
                  <c:v>424665.17636400001</c:v>
                </c:pt>
                <c:pt idx="2">
                  <c:v>383757.32220000005</c:v>
                </c:pt>
                <c:pt idx="3">
                  <c:v>375304</c:v>
                </c:pt>
              </c:numCache>
            </c:numRef>
          </c:val>
        </c:ser>
        <c:ser>
          <c:idx val="1"/>
          <c:order val="2"/>
          <c:tx>
            <c:strRef>
              <c:f>'Histórico Mpios'!$A$22</c:f>
              <c:strCache>
                <c:ptCount val="1"/>
                <c:pt idx="0">
                  <c:v>3.1.3. TRANSFERENCIAS PAGADAS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Mpios'!$F$22:$I$22</c:f>
              <c:numCache>
                <c:formatCode>_(* #,##0_);_(* \(#,##0\);_(* "-"??_);_(@_)</c:formatCode>
                <c:ptCount val="4"/>
                <c:pt idx="0">
                  <c:v>0</c:v>
                </c:pt>
                <c:pt idx="1">
                  <c:v>0</c:v>
                </c:pt>
                <c:pt idx="2">
                  <c:v>0</c:v>
                </c:pt>
                <c:pt idx="3">
                  <c:v>170984</c:v>
                </c:pt>
              </c:numCache>
            </c:numRef>
          </c:val>
        </c:ser>
        <c:gapWidth val="70"/>
        <c:shape val="cylinder"/>
        <c:axId val="102644352"/>
        <c:axId val="102662528"/>
        <c:axId val="0"/>
      </c:bar3DChart>
      <c:catAx>
        <c:axId val="102644352"/>
        <c:scaling>
          <c:orientation val="minMax"/>
        </c:scaling>
        <c:axPos val="b"/>
        <c:numFmt formatCode="General" sourceLinked="1"/>
        <c:tickLblPos val="low"/>
        <c:txPr>
          <a:bodyPr rot="0" vert="horz"/>
          <a:lstStyle/>
          <a:p>
            <a:pPr>
              <a:defRPr lang="es-ES"/>
            </a:pPr>
            <a:endParaRPr lang="es-CO"/>
          </a:p>
        </c:txPr>
        <c:crossAx val="102662528"/>
        <c:crosses val="autoZero"/>
        <c:auto val="1"/>
        <c:lblAlgn val="ctr"/>
        <c:lblOffset val="100"/>
        <c:tickLblSkip val="1"/>
        <c:tickMarkSkip val="1"/>
      </c:catAx>
      <c:valAx>
        <c:axId val="102662528"/>
        <c:scaling>
          <c:orientation val="minMax"/>
        </c:scaling>
        <c:axPos val="l"/>
        <c:majorGridlines/>
        <c:title>
          <c:tx>
            <c:rich>
              <a:bodyPr/>
              <a:lstStyle/>
              <a:p>
                <a:pPr>
                  <a:defRPr lang="es-ES"/>
                </a:pPr>
                <a:r>
                  <a:rPr lang="es-CO"/>
                  <a:t>Mill $ Constantes, 2010</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2644352"/>
        <c:crosses val="autoZero"/>
        <c:crossBetween val="between"/>
      </c:valAx>
    </c:plotArea>
    <c:legend>
      <c:legendPos val="r"/>
      <c:layout>
        <c:manualLayout>
          <c:xMode val="edge"/>
          <c:yMode val="edge"/>
          <c:x val="2.0503807850029639E-2"/>
          <c:y val="0.81540901794715581"/>
          <c:w val="0.97012302284710061"/>
          <c:h val="0.16394136779414281"/>
        </c:manualLayout>
      </c:layout>
      <c:txPr>
        <a:bodyPr/>
        <a:lstStyle/>
        <a:p>
          <a:pPr>
            <a:defRPr lang="es-ES" sz="1000"/>
          </a:pPr>
          <a:endParaRPr lang="es-CO"/>
        </a:p>
      </c:txPr>
    </c:legend>
    <c:plotVisOnly val="1"/>
    <c:dispBlanksAs val="gap"/>
  </c:chart>
  <c:printSettings>
    <c:headerFooter alignWithMargins="0"/>
    <c:pageMargins b="1" l="0.75000000000001099" r="0.7500000000000109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796"/>
        </c:manualLayout>
      </c:layout>
      <c:bar3DChart>
        <c:barDir val="col"/>
        <c:grouping val="clustered"/>
        <c:ser>
          <c:idx val="0"/>
          <c:order val="0"/>
          <c:tx>
            <c:strRef>
              <c:f>'Histórico Mpios'!$A$39</c:f>
              <c:strCache>
                <c:ptCount val="1"/>
                <c:pt idx="0">
                  <c:v>SALDO DE DEUDA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89"/>
                </c:manualLayout>
              </c:layout>
              <c:showVal val="1"/>
            </c:dLbl>
            <c:dLbl>
              <c:idx val="5"/>
              <c:layout>
                <c:manualLayout>
                  <c:x val="-0.29549416134226519"/>
                  <c:y val="-0.49685571822245839"/>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801"/>
                </c:manualLayout>
              </c:layout>
              <c:showVal val="1"/>
            </c:dLbl>
            <c:dLbl>
              <c:idx val="8"/>
              <c:layout>
                <c:manualLayout>
                  <c:xMode val="edge"/>
                  <c:yMode val="edge"/>
                  <c:x val="0.65559440559442184"/>
                  <c:y val="0.38662790697675314"/>
                </c:manualLayout>
              </c:layout>
              <c:showVal val="1"/>
            </c:dLbl>
            <c:numFmt formatCode="_ * #,##0_ ;_ * \-#,##0_ ;_ * &quot;-&quot;??_ ;_ @_ " sourceLinked="0"/>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Mpios'!$F$39:$I$39</c:f>
              <c:numCache>
                <c:formatCode>_(* #,##0_);_(* \(#,##0\);_(* "-"??_);_(@_)</c:formatCode>
                <c:ptCount val="4"/>
                <c:pt idx="0">
                  <c:v>587173.80902440497</c:v>
                </c:pt>
                <c:pt idx="1">
                  <c:v>345847.46443200001</c:v>
                </c:pt>
                <c:pt idx="2">
                  <c:v>196662.65400000001</c:v>
                </c:pt>
                <c:pt idx="3">
                  <c:v>750000</c:v>
                </c:pt>
              </c:numCache>
            </c:numRef>
          </c:val>
          <c:shape val="cylinder"/>
        </c:ser>
        <c:gapWidth val="20"/>
        <c:shape val="box"/>
        <c:axId val="102699776"/>
        <c:axId val="102701312"/>
        <c:axId val="0"/>
      </c:bar3DChart>
      <c:catAx>
        <c:axId val="102699776"/>
        <c:scaling>
          <c:orientation val="minMax"/>
        </c:scaling>
        <c:axPos val="b"/>
        <c:numFmt formatCode="General" sourceLinked="1"/>
        <c:tickLblPos val="low"/>
        <c:txPr>
          <a:bodyPr rot="0" vert="horz"/>
          <a:lstStyle/>
          <a:p>
            <a:pPr>
              <a:defRPr lang="es-ES" sz="1100"/>
            </a:pPr>
            <a:endParaRPr lang="es-CO"/>
          </a:p>
        </c:txPr>
        <c:crossAx val="102701312"/>
        <c:crosses val="autoZero"/>
        <c:auto val="1"/>
        <c:lblAlgn val="ctr"/>
        <c:lblOffset val="100"/>
        <c:tickLblSkip val="1"/>
        <c:tickMarkSkip val="1"/>
      </c:catAx>
      <c:valAx>
        <c:axId val="102701312"/>
        <c:scaling>
          <c:orientation val="minMax"/>
        </c:scaling>
        <c:axPos val="l"/>
        <c:majorGridlines/>
        <c:title>
          <c:tx>
            <c:rich>
              <a:bodyPr/>
              <a:lstStyle/>
              <a:p>
                <a:pPr>
                  <a:defRPr lang="es-ES"/>
                </a:pPr>
                <a:r>
                  <a:rPr lang="es-CO"/>
                  <a:t>Mill $ Constantes, 2010</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2699776"/>
        <c:crosses val="autoZero"/>
        <c:crossBetween val="between"/>
      </c:valAx>
    </c:plotArea>
    <c:plotVisOnly val="1"/>
    <c:dispBlanksAs val="gap"/>
  </c:chart>
  <c:printSettings>
    <c:headerFooter alignWithMargins="0"/>
    <c:pageMargins b="1" l="0.75000000000001099" r="0.75000000000001099"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841"/>
          <c:h val="0.7773733950755527"/>
        </c:manualLayout>
      </c:layout>
      <c:lineChart>
        <c:grouping val="standard"/>
        <c:ser>
          <c:idx val="0"/>
          <c:order val="0"/>
          <c:tx>
            <c:strRef>
              <c:f>'Histórico Mpios'!$A$9</c:f>
              <c:strCache>
                <c:ptCount val="1"/>
                <c:pt idx="0">
                  <c:v>1.1.1. PREDIAL</c:v>
                </c:pt>
              </c:strCache>
            </c:strRef>
          </c:tx>
          <c:marker>
            <c:symbol val="none"/>
          </c:marker>
          <c:dLbls>
            <c:dLbl>
              <c:idx val="0"/>
              <c:layout>
                <c:manualLayout>
                  <c:x val="-2.5331030512377849E-2"/>
                  <c:y val="-3.5714285714285712E-2"/>
                </c:manualLayout>
              </c:layout>
              <c:showVal val="1"/>
            </c:dLbl>
            <c:dLbl>
              <c:idx val="1"/>
              <c:layout>
                <c:manualLayout>
                  <c:x val="-6.9084628670121172E-3"/>
                  <c:y val="-4.7619047619047623E-2"/>
                </c:manualLayout>
              </c:layout>
              <c:showVal val="1"/>
            </c:dLbl>
            <c:dLbl>
              <c:idx val="2"/>
              <c:layout>
                <c:manualLayout>
                  <c:x val="-1.1514104778353483E-2"/>
                  <c:y val="-5.5555555555555455E-2"/>
                </c:manualLayout>
              </c:layout>
              <c:showVal val="1"/>
            </c:dLbl>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Mpios'!$F$9:$I$9</c:f>
              <c:numCache>
                <c:formatCode>_(* #,##0_);_(* \(#,##0\);_(* "-"??_);_(@_)</c:formatCode>
                <c:ptCount val="4"/>
                <c:pt idx="0">
                  <c:v>112330.38048469201</c:v>
                </c:pt>
                <c:pt idx="1">
                  <c:v>110557.15770600001</c:v>
                </c:pt>
                <c:pt idx="2">
                  <c:v>121772.58270000001</c:v>
                </c:pt>
                <c:pt idx="3">
                  <c:v>123386</c:v>
                </c:pt>
              </c:numCache>
            </c:numRef>
          </c:val>
          <c:smooth val="1"/>
        </c:ser>
        <c:ser>
          <c:idx val="1"/>
          <c:order val="1"/>
          <c:tx>
            <c:strRef>
              <c:f>'Histórico Mpios'!$A$10</c:f>
              <c:strCache>
                <c:ptCount val="1"/>
                <c:pt idx="0">
                  <c:v>1.1.2. INDUSTRIA Y COMERCIO</c:v>
                </c:pt>
              </c:strCache>
            </c:strRef>
          </c:tx>
          <c:marker>
            <c:symbol val="none"/>
          </c:marker>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Mpios'!$F$10:$I$10</c:f>
              <c:numCache>
                <c:formatCode>_(* #,##0_);_(* \(#,##0\);_(* "-"??_);_(@_)</c:formatCode>
                <c:ptCount val="4"/>
                <c:pt idx="0">
                  <c:v>416883.49023717182</c:v>
                </c:pt>
                <c:pt idx="1">
                  <c:v>361508.29902000003</c:v>
                </c:pt>
                <c:pt idx="2">
                  <c:v>223782.95190000001</c:v>
                </c:pt>
                <c:pt idx="3">
                  <c:v>179993</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Mpios'!$F$5:$I$5</c:f>
              <c:strCache>
                <c:ptCount val="4"/>
                <c:pt idx="0">
                  <c:v>2007</c:v>
                </c:pt>
                <c:pt idx="1">
                  <c:v>2008</c:v>
                </c:pt>
                <c:pt idx="2">
                  <c:v>2009</c:v>
                </c:pt>
                <c:pt idx="3">
                  <c:v>2010</c:v>
                </c:pt>
              </c:strCache>
            </c:strRef>
          </c:cat>
          <c:val>
            <c:numRef>
              <c:f>'Histórico Mpios'!$F$11:$I$11</c:f>
              <c:numCache>
                <c:formatCode>_(* #,##0_);_(* \(#,##0\);_(* "-"??_);_(@_)</c:formatCode>
                <c:ptCount val="4"/>
                <c:pt idx="0">
                  <c:v>242593.51194710462</c:v>
                </c:pt>
                <c:pt idx="1">
                  <c:v>225470.97817200003</c:v>
                </c:pt>
                <c:pt idx="2">
                  <c:v>209774.52930000002</c:v>
                </c:pt>
                <c:pt idx="3">
                  <c:v>209460</c:v>
                </c:pt>
              </c:numCache>
            </c:numRef>
          </c:val>
          <c:smooth val="1"/>
        </c:ser>
        <c:ser>
          <c:idx val="2"/>
          <c:order val="3"/>
          <c:tx>
            <c:strRef>
              <c:f>'Histórico Mpios'!$A$12</c:f>
              <c:strCache>
                <c:ptCount val="1"/>
                <c:pt idx="0">
                  <c:v>1.1.4. OTROS</c:v>
                </c:pt>
              </c:strCache>
            </c:strRef>
          </c:tx>
          <c:marker>
            <c:symbol val="none"/>
          </c:marker>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Mpios'!$F$12:$I$12</c:f>
              <c:numCache>
                <c:formatCode>_(* #,##0_);_(* \(#,##0\);_(* "-"??_);_(@_)</c:formatCode>
                <c:ptCount val="4"/>
                <c:pt idx="0">
                  <c:v>65764.373049147602</c:v>
                </c:pt>
                <c:pt idx="1">
                  <c:v>162841.32016200002</c:v>
                </c:pt>
                <c:pt idx="2">
                  <c:v>223063.85700000002</c:v>
                </c:pt>
                <c:pt idx="3">
                  <c:v>230883</c:v>
                </c:pt>
              </c:numCache>
            </c:numRef>
          </c:val>
          <c:smooth val="1"/>
        </c:ser>
        <c:marker val="1"/>
        <c:axId val="102766464"/>
        <c:axId val="102768000"/>
      </c:lineChart>
      <c:catAx>
        <c:axId val="102766464"/>
        <c:scaling>
          <c:orientation val="minMax"/>
        </c:scaling>
        <c:axPos val="b"/>
        <c:numFmt formatCode="General" sourceLinked="1"/>
        <c:tickLblPos val="low"/>
        <c:txPr>
          <a:bodyPr rot="0" vert="horz"/>
          <a:lstStyle/>
          <a:p>
            <a:pPr>
              <a:defRPr lang="es-ES"/>
            </a:pPr>
            <a:endParaRPr lang="es-CO"/>
          </a:p>
        </c:txPr>
        <c:crossAx val="102768000"/>
        <c:crosses val="autoZero"/>
        <c:auto val="1"/>
        <c:lblAlgn val="ctr"/>
        <c:lblOffset val="100"/>
        <c:tickLblSkip val="1"/>
        <c:tickMarkSkip val="1"/>
      </c:catAx>
      <c:valAx>
        <c:axId val="102768000"/>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2766464"/>
        <c:crosses val="autoZero"/>
        <c:crossBetween val="between"/>
      </c:valAx>
    </c:plotArea>
    <c:legend>
      <c:legendPos val="r"/>
      <c:layout>
        <c:manualLayout>
          <c:xMode val="edge"/>
          <c:yMode val="edge"/>
          <c:x val="0"/>
          <c:y val="0.88434151643615111"/>
          <c:w val="1"/>
          <c:h val="0.10408105778168725"/>
        </c:manualLayout>
      </c:layout>
      <c:txPr>
        <a:bodyPr/>
        <a:lstStyle/>
        <a:p>
          <a:pPr>
            <a:defRPr lang="es-ES" sz="1100"/>
          </a:pPr>
          <a:endParaRPr lang="es-CO"/>
        </a:p>
      </c:txPr>
    </c:legend>
    <c:plotVisOnly val="1"/>
    <c:dispBlanksAs val="gap"/>
  </c:chart>
  <c:printSettings>
    <c:headerFooter alignWithMargins="0"/>
    <c:pageMargins b="1" l="0.75000000000001099" r="0.75000000000001099"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5334517465956191"/>
          <c:y val="4.3684819378737395E-2"/>
          <c:w val="0.8164594434576673"/>
          <c:h val="0.73169428904539113"/>
        </c:manualLayout>
      </c:layout>
      <c:bar3DChart>
        <c:barDir val="col"/>
        <c:grouping val="clustered"/>
        <c:ser>
          <c:idx val="0"/>
          <c:order val="0"/>
          <c:tx>
            <c:strRef>
              <c:f>'Histórico Mpios'!$A$7</c:f>
              <c:strCache>
                <c:ptCount val="1"/>
                <c:pt idx="0">
                  <c:v>1.  INGRESOS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Mpios'!$F$7:$I$7</c:f>
              <c:numCache>
                <c:formatCode>_(* #,##0_);_(* \(#,##0\);_(* "-"??_);_(@_)</c:formatCode>
                <c:ptCount val="4"/>
                <c:pt idx="0">
                  <c:v>1366717.6435589117</c:v>
                </c:pt>
                <c:pt idx="1">
                  <c:v>2094051.0022740001</c:v>
                </c:pt>
                <c:pt idx="2">
                  <c:v>5245349.5377000002</c:v>
                </c:pt>
                <c:pt idx="3">
                  <c:v>3262621</c:v>
                </c:pt>
              </c:numCache>
            </c:numRef>
          </c:val>
          <c:shape val="cylinder"/>
        </c:ser>
        <c:ser>
          <c:idx val="1"/>
          <c:order val="1"/>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931099.20434741699</c:v>
                </c:pt>
                <c:pt idx="1">
                  <c:v>1037401.38054</c:v>
                </c:pt>
                <c:pt idx="2">
                  <c:v>1082188.3029</c:v>
                </c:pt>
                <c:pt idx="3">
                  <c:v>1170839</c:v>
                </c:pt>
              </c:numCache>
            </c:numRef>
          </c:val>
          <c:shape val="cylinder"/>
        </c:ser>
        <c:gapWidth val="20"/>
        <c:shape val="box"/>
        <c:axId val="102823424"/>
        <c:axId val="102824960"/>
        <c:axId val="0"/>
      </c:bar3DChart>
      <c:catAx>
        <c:axId val="102823424"/>
        <c:scaling>
          <c:orientation val="minMax"/>
        </c:scaling>
        <c:axPos val="b"/>
        <c:numFmt formatCode="General" sourceLinked="1"/>
        <c:tickLblPos val="low"/>
        <c:txPr>
          <a:bodyPr rot="0" vert="horz"/>
          <a:lstStyle/>
          <a:p>
            <a:pPr>
              <a:defRPr lang="es-ES"/>
            </a:pPr>
            <a:endParaRPr lang="es-CO"/>
          </a:p>
        </c:txPr>
        <c:crossAx val="102824960"/>
        <c:crosses val="autoZero"/>
        <c:auto val="1"/>
        <c:lblAlgn val="ctr"/>
        <c:lblOffset val="100"/>
        <c:tickLblSkip val="1"/>
        <c:tickMarkSkip val="1"/>
      </c:catAx>
      <c:valAx>
        <c:axId val="102824960"/>
        <c:scaling>
          <c:orientation val="minMax"/>
          <c:min val="0"/>
        </c:scaling>
        <c:axPos val="l"/>
        <c:majorGridlines/>
        <c:title>
          <c:tx>
            <c:rich>
              <a:bodyPr/>
              <a:lstStyle/>
              <a:p>
                <a:pPr>
                  <a:defRPr lang="es-ES"/>
                </a:pPr>
                <a:r>
                  <a:rPr lang="es-CO"/>
                  <a:t>Mill $ Constantes, 2010</a:t>
                </a:r>
              </a:p>
            </c:rich>
          </c:tx>
          <c:layout>
            <c:manualLayout>
              <c:xMode val="edge"/>
              <c:yMode val="edge"/>
              <c:x val="1.0065127294257414E-2"/>
              <c:y val="0.29202099737533793"/>
            </c:manualLayout>
          </c:layout>
        </c:title>
        <c:numFmt formatCode="_(* #,##0_);_(* \(#,##0\);_(* &quot;-&quot;??_);_(@_)" sourceLinked="1"/>
        <c:tickLblPos val="nextTo"/>
        <c:txPr>
          <a:bodyPr rot="0" vert="horz"/>
          <a:lstStyle/>
          <a:p>
            <a:pPr>
              <a:defRPr lang="es-ES"/>
            </a:pPr>
            <a:endParaRPr lang="es-CO"/>
          </a:p>
        </c:txPr>
        <c:crossAx val="102823424"/>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099" r="0.75000000000001099"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81571306575576219"/>
        </c:manualLayout>
      </c:layout>
      <c:bar3DChart>
        <c:barDir val="col"/>
        <c:grouping val="clustered"/>
        <c:ser>
          <c:idx val="0"/>
          <c:order val="0"/>
          <c:tx>
            <c:strRef>
              <c:f>'Histórico Deptos'!$A$6</c:f>
              <c:strCache>
                <c:ptCount val="1"/>
                <c:pt idx="0">
                  <c:v>1  INGRESOS TOTALES</c:v>
                </c:pt>
              </c:strCache>
            </c:strRef>
          </c:tx>
          <c:dLbls>
            <c:dLbl>
              <c:idx val="0"/>
              <c:layout>
                <c:manualLayout>
                  <c:x val="0"/>
                  <c:y val="-2.0495303159692592E-2"/>
                </c:manualLayout>
              </c:layout>
              <c:showVal val="1"/>
            </c:dLbl>
            <c:dLbl>
              <c:idx val="1"/>
              <c:layout>
                <c:manualLayout>
                  <c:x val="0"/>
                  <c:y val="-2.0495303159692602E-2"/>
                </c:manualLayout>
              </c:layout>
              <c:showVal val="1"/>
            </c:dLbl>
            <c:dLbl>
              <c:idx val="2"/>
              <c:layout>
                <c:manualLayout>
                  <c:x val="8.1674323634507526E-3"/>
                  <c:y val="-1.7079419299743808E-2"/>
                </c:manualLayout>
              </c:layout>
              <c:showVal val="1"/>
            </c:dLbl>
            <c:dLbl>
              <c:idx val="3"/>
              <c:layout>
                <c:manualLayout>
                  <c:x val="0"/>
                  <c:y val="-1.7079419299743808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dLbls>
            <c:dLbl>
              <c:idx val="0"/>
              <c:layout>
                <c:manualLayout>
                  <c:x val="1.2251148545176073E-2"/>
                  <c:y val="-1.0247651579846286E-2"/>
                </c:manualLayout>
              </c:layout>
              <c:showVal val="1"/>
            </c:dLbl>
            <c:dLbl>
              <c:idx val="1"/>
              <c:layout>
                <c:manualLayout>
                  <c:x val="2.0418580908626843E-2"/>
                  <c:y val="-1.3663535439795125E-2"/>
                </c:manualLayout>
              </c:layout>
              <c:showVal val="1"/>
            </c:dLbl>
            <c:dLbl>
              <c:idx val="2"/>
              <c:layout>
                <c:manualLayout>
                  <c:x val="1.6334864726901481E-2"/>
                  <c:y val="-2.7327070879590149E-2"/>
                </c:manualLayout>
              </c:layout>
              <c:showVal val="1"/>
            </c:dLbl>
            <c:dLbl>
              <c:idx val="3"/>
              <c:layout>
                <c:manualLayout>
                  <c:x val="1.6334864726901481E-2"/>
                  <c:y val="-2.73270708795902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Deptos'!$F$20:$I$20</c:f>
              <c:numCache>
                <c:formatCode>_(* #,##0_);_(* \(#,##0\);_(* "-"??_);_(@_)</c:formatCode>
                <c:ptCount val="4"/>
                <c:pt idx="0">
                  <c:v>0</c:v>
                </c:pt>
                <c:pt idx="1">
                  <c:v>0</c:v>
                </c:pt>
                <c:pt idx="2">
                  <c:v>0</c:v>
                </c:pt>
                <c:pt idx="3">
                  <c:v>0</c:v>
                </c:pt>
              </c:numCache>
            </c:numRef>
          </c:val>
          <c:shape val="cylinder"/>
        </c:ser>
        <c:gapWidth val="20"/>
        <c:shape val="box"/>
        <c:axId val="103179392"/>
        <c:axId val="103180928"/>
        <c:axId val="0"/>
      </c:bar3DChart>
      <c:catAx>
        <c:axId val="103179392"/>
        <c:scaling>
          <c:orientation val="minMax"/>
        </c:scaling>
        <c:axPos val="b"/>
        <c:numFmt formatCode="General" sourceLinked="1"/>
        <c:tickLblPos val="low"/>
        <c:txPr>
          <a:bodyPr rot="0" vert="horz"/>
          <a:lstStyle/>
          <a:p>
            <a:pPr>
              <a:defRPr lang="es-ES" sz="1400"/>
            </a:pPr>
            <a:endParaRPr lang="es-CO"/>
          </a:p>
        </c:txPr>
        <c:crossAx val="103180928"/>
        <c:crosses val="autoZero"/>
        <c:auto val="1"/>
        <c:lblAlgn val="ctr"/>
        <c:lblOffset val="100"/>
        <c:tickLblSkip val="1"/>
        <c:tickMarkSkip val="1"/>
      </c:catAx>
      <c:valAx>
        <c:axId val="103180928"/>
        <c:scaling>
          <c:orientation val="minMax"/>
          <c:min val="0"/>
        </c:scaling>
        <c:axPos val="l"/>
        <c:title>
          <c:tx>
            <c:rich>
              <a:bodyPr/>
              <a:lstStyle/>
              <a:p>
                <a:pPr>
                  <a:defRPr lang="es-ES"/>
                </a:pPr>
                <a:r>
                  <a:rPr lang="es-CO"/>
                  <a:t>Mill $ Constantes, 2009</a:t>
                </a:r>
              </a:p>
            </c:rich>
          </c:tx>
          <c:layout>
            <c:manualLayout>
              <c:xMode val="edge"/>
              <c:yMode val="edge"/>
              <c:x val="9.3159820990965959E-3"/>
              <c:y val="0.28313253012048195"/>
            </c:manualLayout>
          </c:layout>
        </c:title>
        <c:numFmt formatCode="_(* #,##0_);_(* \(#,##0\);_(* &quot;-&quot;??_);_(@_)" sourceLinked="1"/>
        <c:tickLblPos val="nextTo"/>
        <c:txPr>
          <a:bodyPr rot="0" vert="horz"/>
          <a:lstStyle/>
          <a:p>
            <a:pPr>
              <a:defRPr lang="es-ES"/>
            </a:pPr>
            <a:endParaRPr lang="es-CO"/>
          </a:p>
        </c:txPr>
        <c:crossAx val="103179392"/>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055" r="0.75000000000001055"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241819230800483"/>
          <c:h val="0.79019281600400904"/>
        </c:manualLayout>
      </c:layout>
      <c:bar3DChart>
        <c:barDir val="col"/>
        <c:grouping val="clustered"/>
        <c:ser>
          <c:idx val="0"/>
          <c:order val="0"/>
          <c:tx>
            <c:strRef>
              <c:f>'Histórico Deptos'!$A$21</c:f>
              <c:strCache>
                <c:ptCount val="1"/>
                <c:pt idx="0">
                  <c:v>2.1  GASTOS CORRIENTES</c:v>
                </c:pt>
              </c:strCache>
            </c:strRef>
          </c:tx>
          <c:dLbls>
            <c:dLbl>
              <c:idx val="0"/>
              <c:layout>
                <c:manualLayout>
                  <c:x val="-2.06398348813211E-3"/>
                  <c:y val="-5.6537102473498295E-2"/>
                </c:manualLayout>
              </c:layout>
              <c:showVal val="1"/>
            </c:dLbl>
            <c:dLbl>
              <c:idx val="1"/>
              <c:layout>
                <c:manualLayout>
                  <c:x val="4.1279669762641765E-3"/>
                  <c:y val="-3.5335689045936397E-2"/>
                </c:manualLayout>
              </c:layout>
              <c:showVal val="1"/>
            </c:dLbl>
            <c:dLbl>
              <c:idx val="2"/>
              <c:layout>
                <c:manualLayout>
                  <c:x val="0"/>
                  <c:y val="-3.5335689045936397E-2"/>
                </c:manualLayout>
              </c:layout>
              <c:showVal val="1"/>
            </c:dLbl>
            <c:dLbl>
              <c:idx val="3"/>
              <c:layout>
                <c:manualLayout>
                  <c:x val="6.1919504643962852E-3"/>
                  <c:y val="-2.8268551236748971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dLbls>
            <c:dLbl>
              <c:idx val="0"/>
              <c:layout>
                <c:manualLayout>
                  <c:x val="4.1279669762642069E-3"/>
                  <c:y val="-2.4734982332155469E-2"/>
                </c:manualLayout>
              </c:layout>
              <c:showVal val="1"/>
            </c:dLbl>
            <c:dLbl>
              <c:idx val="1"/>
              <c:layout>
                <c:manualLayout>
                  <c:x val="6.1919504643962852E-3"/>
                  <c:y val="-3.5335689045936397E-2"/>
                </c:manualLayout>
              </c:layout>
              <c:showVal val="1"/>
            </c:dLbl>
            <c:dLbl>
              <c:idx val="2"/>
              <c:layout>
                <c:manualLayout>
                  <c:x val="1.0319917440660398E-2"/>
                  <c:y val="-5.6537102473498267E-2"/>
                </c:manualLayout>
              </c:layout>
              <c:showVal val="1"/>
            </c:dLbl>
            <c:dLbl>
              <c:idx val="3"/>
              <c:layout>
                <c:manualLayout>
                  <c:x val="4.1279669762641765E-3"/>
                  <c:y val="-4.59363957597174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Deptos'!$F$37:$I$37</c:f>
              <c:numCache>
                <c:formatCode>_(* #,##0_);_(* \(#,##0\);_(* "-"??_);_(@_)</c:formatCode>
                <c:ptCount val="4"/>
                <c:pt idx="0">
                  <c:v>0</c:v>
                </c:pt>
                <c:pt idx="1">
                  <c:v>0</c:v>
                </c:pt>
                <c:pt idx="2">
                  <c:v>0</c:v>
                </c:pt>
                <c:pt idx="3">
                  <c:v>0</c:v>
                </c:pt>
              </c:numCache>
            </c:numRef>
          </c:val>
          <c:shape val="cylinder"/>
        </c:ser>
        <c:gapWidth val="10"/>
        <c:shape val="box"/>
        <c:axId val="103244160"/>
        <c:axId val="103245696"/>
        <c:axId val="0"/>
      </c:bar3DChart>
      <c:catAx>
        <c:axId val="103244160"/>
        <c:scaling>
          <c:orientation val="minMax"/>
        </c:scaling>
        <c:axPos val="b"/>
        <c:numFmt formatCode="General" sourceLinked="1"/>
        <c:tickLblPos val="low"/>
        <c:txPr>
          <a:bodyPr rot="0" vert="horz"/>
          <a:lstStyle/>
          <a:p>
            <a:pPr>
              <a:defRPr lang="es-ES" sz="1400"/>
            </a:pPr>
            <a:endParaRPr lang="es-CO"/>
          </a:p>
        </c:txPr>
        <c:crossAx val="103245696"/>
        <c:crosses val="autoZero"/>
        <c:auto val="1"/>
        <c:lblAlgn val="ctr"/>
        <c:lblOffset val="100"/>
        <c:tickLblSkip val="1"/>
        <c:tickMarkSkip val="1"/>
      </c:catAx>
      <c:valAx>
        <c:axId val="103245696"/>
        <c:scaling>
          <c:orientation val="minMax"/>
        </c:scaling>
        <c:axPos val="l"/>
        <c:title>
          <c:tx>
            <c:rich>
              <a:bodyPr/>
              <a:lstStyle/>
              <a:p>
                <a:pPr>
                  <a:defRPr lang="es-ES"/>
                </a:pPr>
                <a:r>
                  <a:rPr lang="es-CO"/>
                  <a:t>Mill $ Constantes, 2009</a:t>
                </a:r>
              </a:p>
            </c:rich>
          </c:tx>
          <c:layout>
            <c:manualLayout>
              <c:xMode val="edge"/>
              <c:yMode val="edge"/>
              <c:x val="2.1201413427562706E-2"/>
              <c:y val="0.2455092963679"/>
            </c:manualLayout>
          </c:layout>
        </c:title>
        <c:numFmt formatCode="General" sourceLinked="0"/>
        <c:tickLblPos val="nextTo"/>
        <c:txPr>
          <a:bodyPr rot="0" vert="horz"/>
          <a:lstStyle/>
          <a:p>
            <a:pPr>
              <a:defRPr lang="es-ES"/>
            </a:pPr>
            <a:endParaRPr lang="es-CO"/>
          </a:p>
        </c:txPr>
        <c:crossAx val="103244160"/>
        <c:crosses val="autoZero"/>
        <c:crossBetween val="between"/>
      </c:valAx>
    </c:plotArea>
    <c:legend>
      <c:legendPos val="r"/>
      <c:layout>
        <c:manualLayout>
          <c:xMode val="edge"/>
          <c:yMode val="edge"/>
          <c:x val="1.353755692199252E-2"/>
          <c:y val="0.86145341490245009"/>
          <c:w val="0.97264110733635634"/>
          <c:h val="8.4302325581395568E-2"/>
        </c:manualLayout>
      </c:layout>
      <c:txPr>
        <a:bodyPr/>
        <a:lstStyle/>
        <a:p>
          <a:pPr>
            <a:defRPr lang="es-ES" sz="1400"/>
          </a:pPr>
          <a:endParaRPr lang="es-CO"/>
        </a:p>
      </c:txPr>
    </c:legend>
    <c:plotVisOnly val="1"/>
    <c:dispBlanksAs val="gap"/>
  </c:chart>
  <c:printSettings>
    <c:headerFooter alignWithMargins="0"/>
    <c:pageMargins b="1" l="0.75000000000001055" r="0.7500000000000105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rubiurre/AppData/Local/Temp/Rar$DIa0.888/PRESUPUESTO%20TESALIA%202012%20AUERD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jgalindo/Configuraci&#243;n%20local/Archivos%20temporales%20de%20Internet/Content.Outlook/F1X7NX1F/Formatos_MFMP_MUNICIPIOS_CGR-D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INGRESOS 2011"/>
      <sheetName val="PRESENTACION ANEXOS"/>
      <sheetName val="FUNCIONAMIENTO 2011"/>
      <sheetName val="DEUDA "/>
      <sheetName val="EDUCACION"/>
      <sheetName val="SALUD"/>
      <sheetName val="AGUA POTABLE"/>
      <sheetName val="DEPORTE Y CULTURA"/>
      <sheetName val="OTRO SECTORES"/>
      <sheetName val="REGALIAS Y RESTAURANTE Y FONPET"/>
      <sheetName val="Hoja1"/>
    </sheetNames>
    <sheetDataSet>
      <sheetData sheetId="0"/>
      <sheetData sheetId="1"/>
      <sheetData sheetId="2">
        <row r="128">
          <cell r="I128">
            <v>25000000</v>
          </cell>
        </row>
      </sheetData>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GP 2009 Once"/>
      <sheetName val="Datos Generales"/>
      <sheetName val="Análisis Histórico"/>
      <sheetName val="Plan Financiero Minhacienda"/>
      <sheetName val="Plan Financiero DNP"/>
      <sheetName val="Capacidad de Endeudamiento"/>
      <sheetName val="Superávit Primario"/>
      <sheetName val="Indicadores"/>
      <sheetName val="Graficos"/>
    </sheetNames>
    <sheetDataSet>
      <sheetData sheetId="0" refreshError="1"/>
      <sheetData sheetId="1" refreshError="1"/>
      <sheetData sheetId="2">
        <row r="5">
          <cell r="H5" t="str">
            <v>2004</v>
          </cell>
        </row>
      </sheetData>
      <sheetData sheetId="3" refreshError="1"/>
      <sheetData sheetId="4" refreshError="1"/>
      <sheetData sheetId="5" refreshError="1"/>
      <sheetData sheetId="6" refreshError="1">
        <row r="10">
          <cell r="B10" t="str">
            <v>SOSTENIBLE</v>
          </cell>
          <cell r="C10" t="str">
            <v>SOSTENIBLE</v>
          </cell>
          <cell r="D10" t="str">
            <v>SOSTENIBLE</v>
          </cell>
          <cell r="E10" t="str">
            <v>SOSTENIBLE</v>
          </cell>
          <cell r="F10" t="str">
            <v>SOSTENIBLE</v>
          </cell>
          <cell r="G10" t="str">
            <v>SOSTENIBLE</v>
          </cell>
          <cell r="H10" t="str">
            <v>SOSTENIBLE</v>
          </cell>
          <cell r="I10" t="str">
            <v>SOSTENIBLE</v>
          </cell>
          <cell r="J10" t="str">
            <v>SOSTENIBLE</v>
          </cell>
          <cell r="K10" t="str">
            <v>SOSTENIBLE</v>
          </cell>
          <cell r="L10" t="str">
            <v>SOSTENIBLE</v>
          </cell>
        </row>
      </sheetData>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np.gov.co/PortalWeb/Programas/DesarrolloTerritorial/FinanzasP%C3%BAblicasTerritoriales/EjecucionesPresupuestales.aspx" TargetMode="External"/><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2"/>
  <dimension ref="A1:J71"/>
  <sheetViews>
    <sheetView workbookViewId="0"/>
  </sheetViews>
  <sheetFormatPr baseColWidth="10" defaultRowHeight="15"/>
  <sheetData>
    <row r="1" spans="1:10">
      <c r="A1" t="s">
        <v>256</v>
      </c>
      <c r="B1" t="s">
        <v>1</v>
      </c>
      <c r="C1" t="s">
        <v>2</v>
      </c>
      <c r="D1" t="s">
        <v>257</v>
      </c>
      <c r="E1" t="s">
        <v>3</v>
      </c>
      <c r="F1" t="s">
        <v>4</v>
      </c>
      <c r="G1" t="s">
        <v>258</v>
      </c>
      <c r="H1" t="s">
        <v>259</v>
      </c>
      <c r="I1" t="s">
        <v>22</v>
      </c>
      <c r="J1" t="s">
        <v>23</v>
      </c>
    </row>
    <row r="2" spans="1:10">
      <c r="A2" t="s">
        <v>33</v>
      </c>
      <c r="B2">
        <v>434413</v>
      </c>
      <c r="C2">
        <v>546413</v>
      </c>
      <c r="D2">
        <v>505576</v>
      </c>
      <c r="E2">
        <v>0</v>
      </c>
      <c r="F2">
        <v>0</v>
      </c>
      <c r="G2">
        <v>0</v>
      </c>
      <c r="H2" t="s">
        <v>260</v>
      </c>
      <c r="I2">
        <v>4</v>
      </c>
      <c r="J2">
        <v>2010</v>
      </c>
    </row>
    <row r="3" spans="1:10">
      <c r="A3" t="s">
        <v>35</v>
      </c>
      <c r="B3">
        <v>293952</v>
      </c>
      <c r="C3">
        <v>293952</v>
      </c>
      <c r="D3">
        <v>325395</v>
      </c>
      <c r="E3">
        <v>0</v>
      </c>
      <c r="F3">
        <v>0</v>
      </c>
      <c r="G3">
        <v>0</v>
      </c>
      <c r="H3" t="s">
        <v>260</v>
      </c>
      <c r="I3">
        <v>4</v>
      </c>
      <c r="J3">
        <v>2010</v>
      </c>
    </row>
    <row r="4" spans="1:10">
      <c r="A4" t="s">
        <v>45</v>
      </c>
      <c r="B4">
        <v>90348</v>
      </c>
      <c r="C4">
        <v>90348</v>
      </c>
      <c r="D4">
        <v>86938</v>
      </c>
      <c r="E4">
        <v>0</v>
      </c>
      <c r="F4">
        <v>0</v>
      </c>
      <c r="G4">
        <v>0</v>
      </c>
      <c r="H4" t="s">
        <v>260</v>
      </c>
      <c r="I4">
        <v>4</v>
      </c>
      <c r="J4">
        <v>2010</v>
      </c>
    </row>
    <row r="5" spans="1:10">
      <c r="A5" t="s">
        <v>47</v>
      </c>
      <c r="B5">
        <v>28521</v>
      </c>
      <c r="C5">
        <v>104050</v>
      </c>
      <c r="D5">
        <v>102066</v>
      </c>
      <c r="E5">
        <v>0</v>
      </c>
      <c r="F5">
        <v>0</v>
      </c>
      <c r="G5">
        <v>0</v>
      </c>
      <c r="H5" t="s">
        <v>260</v>
      </c>
      <c r="I5">
        <v>4</v>
      </c>
      <c r="J5">
        <v>2010</v>
      </c>
    </row>
    <row r="6" spans="1:10">
      <c r="A6" t="s">
        <v>53</v>
      </c>
      <c r="B6">
        <v>114966</v>
      </c>
      <c r="C6">
        <v>379038</v>
      </c>
      <c r="D6">
        <v>311579</v>
      </c>
      <c r="E6">
        <v>0</v>
      </c>
      <c r="F6">
        <v>0</v>
      </c>
      <c r="G6">
        <v>0</v>
      </c>
      <c r="H6" t="s">
        <v>260</v>
      </c>
      <c r="I6">
        <v>4</v>
      </c>
      <c r="J6">
        <v>2010</v>
      </c>
    </row>
    <row r="7" spans="1:10">
      <c r="A7" t="s">
        <v>57</v>
      </c>
      <c r="B7">
        <v>180319</v>
      </c>
      <c r="C7">
        <v>227561</v>
      </c>
      <c r="D7">
        <v>201950</v>
      </c>
      <c r="E7">
        <v>0</v>
      </c>
      <c r="F7">
        <v>0</v>
      </c>
      <c r="G7">
        <v>0</v>
      </c>
      <c r="H7" t="s">
        <v>260</v>
      </c>
      <c r="I7">
        <v>4</v>
      </c>
      <c r="J7">
        <v>2010</v>
      </c>
    </row>
    <row r="8" spans="1:10">
      <c r="A8" t="s">
        <v>67</v>
      </c>
      <c r="B8">
        <v>579485</v>
      </c>
      <c r="C8">
        <v>743638</v>
      </c>
      <c r="D8">
        <v>743638</v>
      </c>
      <c r="E8">
        <v>0</v>
      </c>
      <c r="F8">
        <v>0</v>
      </c>
      <c r="G8">
        <v>0</v>
      </c>
      <c r="H8" t="s">
        <v>260</v>
      </c>
      <c r="I8">
        <v>4</v>
      </c>
      <c r="J8">
        <v>2010</v>
      </c>
    </row>
    <row r="9" spans="1:10">
      <c r="A9" t="s">
        <v>68</v>
      </c>
      <c r="B9">
        <v>8000</v>
      </c>
      <c r="C9">
        <v>16552</v>
      </c>
      <c r="D9">
        <v>20485</v>
      </c>
      <c r="E9">
        <v>0</v>
      </c>
      <c r="F9">
        <v>0</v>
      </c>
      <c r="G9">
        <v>0</v>
      </c>
      <c r="H9" t="s">
        <v>260</v>
      </c>
      <c r="I9">
        <v>4</v>
      </c>
      <c r="J9">
        <v>2010</v>
      </c>
    </row>
    <row r="10" spans="1:10">
      <c r="A10" t="s">
        <v>72</v>
      </c>
      <c r="B10">
        <v>7168</v>
      </c>
      <c r="C10">
        <v>7168</v>
      </c>
      <c r="D10">
        <v>20745</v>
      </c>
      <c r="E10">
        <v>0</v>
      </c>
      <c r="F10">
        <v>0</v>
      </c>
      <c r="G10">
        <v>0</v>
      </c>
      <c r="H10" t="s">
        <v>260</v>
      </c>
      <c r="I10">
        <v>4</v>
      </c>
      <c r="J10">
        <v>2010</v>
      </c>
    </row>
    <row r="11" spans="1:10">
      <c r="A11" t="s">
        <v>74</v>
      </c>
      <c r="B11">
        <v>6000</v>
      </c>
      <c r="C11">
        <v>6000</v>
      </c>
      <c r="D11">
        <v>0</v>
      </c>
      <c r="E11">
        <v>0</v>
      </c>
      <c r="F11">
        <v>0</v>
      </c>
      <c r="G11">
        <v>0</v>
      </c>
      <c r="H11" t="s">
        <v>260</v>
      </c>
      <c r="I11">
        <v>4</v>
      </c>
      <c r="J11">
        <v>2010</v>
      </c>
    </row>
    <row r="12" spans="1:10">
      <c r="A12" t="s">
        <v>83</v>
      </c>
      <c r="B12">
        <v>340004</v>
      </c>
      <c r="C12">
        <v>386915</v>
      </c>
      <c r="D12">
        <v>386915</v>
      </c>
      <c r="E12">
        <v>0</v>
      </c>
      <c r="F12">
        <v>0</v>
      </c>
      <c r="G12">
        <v>0</v>
      </c>
      <c r="H12" t="s">
        <v>260</v>
      </c>
      <c r="I12">
        <v>4</v>
      </c>
      <c r="J12">
        <v>2010</v>
      </c>
    </row>
    <row r="13" spans="1:10">
      <c r="A13" t="s">
        <v>85</v>
      </c>
      <c r="B13">
        <v>2073151</v>
      </c>
      <c r="C13">
        <v>2262061</v>
      </c>
      <c r="D13">
        <v>2262061</v>
      </c>
      <c r="E13">
        <v>0</v>
      </c>
      <c r="F13">
        <v>0</v>
      </c>
      <c r="G13">
        <v>156414</v>
      </c>
      <c r="H13" t="s">
        <v>260</v>
      </c>
      <c r="I13">
        <v>4</v>
      </c>
      <c r="J13">
        <v>2010</v>
      </c>
    </row>
    <row r="14" spans="1:10">
      <c r="A14" t="s">
        <v>87</v>
      </c>
      <c r="B14">
        <v>557756</v>
      </c>
      <c r="C14">
        <v>668651</v>
      </c>
      <c r="D14">
        <v>668651</v>
      </c>
      <c r="E14">
        <v>0</v>
      </c>
      <c r="F14">
        <v>0</v>
      </c>
      <c r="G14">
        <v>0</v>
      </c>
      <c r="H14" t="s">
        <v>260</v>
      </c>
      <c r="I14">
        <v>4</v>
      </c>
      <c r="J14">
        <v>2010</v>
      </c>
    </row>
    <row r="15" spans="1:10">
      <c r="A15" t="s">
        <v>89</v>
      </c>
      <c r="B15">
        <v>847773</v>
      </c>
      <c r="C15">
        <v>1072756</v>
      </c>
      <c r="D15">
        <v>1072756</v>
      </c>
      <c r="E15">
        <v>0</v>
      </c>
      <c r="F15">
        <v>0</v>
      </c>
      <c r="G15">
        <v>0</v>
      </c>
      <c r="H15" t="s">
        <v>260</v>
      </c>
      <c r="I15">
        <v>4</v>
      </c>
      <c r="J15">
        <v>2010</v>
      </c>
    </row>
    <row r="16" spans="1:10">
      <c r="A16" t="s">
        <v>91</v>
      </c>
      <c r="B16">
        <v>50736</v>
      </c>
      <c r="C16">
        <v>54313</v>
      </c>
      <c r="D16">
        <v>54313</v>
      </c>
      <c r="E16">
        <v>0</v>
      </c>
      <c r="F16">
        <v>0</v>
      </c>
      <c r="G16">
        <v>0</v>
      </c>
      <c r="H16" t="s">
        <v>260</v>
      </c>
      <c r="I16">
        <v>4</v>
      </c>
      <c r="J16">
        <v>2010</v>
      </c>
    </row>
    <row r="17" spans="1:10">
      <c r="A17" t="s">
        <v>93</v>
      </c>
      <c r="B17">
        <v>790121</v>
      </c>
      <c r="C17">
        <v>1502661</v>
      </c>
      <c r="D17">
        <v>1514460</v>
      </c>
      <c r="E17">
        <v>0</v>
      </c>
      <c r="F17">
        <v>0</v>
      </c>
      <c r="G17">
        <v>0</v>
      </c>
      <c r="H17" t="s">
        <v>260</v>
      </c>
      <c r="I17">
        <v>4</v>
      </c>
      <c r="J17">
        <v>2010</v>
      </c>
    </row>
    <row r="18" spans="1:10">
      <c r="A18" t="s">
        <v>97</v>
      </c>
      <c r="B18">
        <v>0</v>
      </c>
      <c r="C18">
        <v>22548</v>
      </c>
      <c r="D18">
        <v>3047</v>
      </c>
      <c r="E18">
        <v>0</v>
      </c>
      <c r="F18">
        <v>0</v>
      </c>
      <c r="G18">
        <v>0</v>
      </c>
      <c r="H18" t="s">
        <v>260</v>
      </c>
      <c r="I18">
        <v>4</v>
      </c>
      <c r="J18">
        <v>2010</v>
      </c>
    </row>
    <row r="19" spans="1:10">
      <c r="A19" t="s">
        <v>99</v>
      </c>
      <c r="B19">
        <v>9434</v>
      </c>
      <c r="C19">
        <v>9434</v>
      </c>
      <c r="D19">
        <v>4554</v>
      </c>
      <c r="E19">
        <v>0</v>
      </c>
      <c r="F19">
        <v>0</v>
      </c>
      <c r="G19">
        <v>0</v>
      </c>
      <c r="H19" t="s">
        <v>260</v>
      </c>
      <c r="I19">
        <v>4</v>
      </c>
      <c r="J19">
        <v>2010</v>
      </c>
    </row>
    <row r="20" spans="1:10">
      <c r="A20" t="s">
        <v>107</v>
      </c>
      <c r="B20">
        <v>595377</v>
      </c>
      <c r="C20">
        <v>540683</v>
      </c>
      <c r="D20">
        <v>527770</v>
      </c>
      <c r="E20">
        <v>527770</v>
      </c>
      <c r="F20">
        <v>527770</v>
      </c>
      <c r="G20">
        <v>0</v>
      </c>
      <c r="H20" t="s">
        <v>260</v>
      </c>
      <c r="I20">
        <v>4</v>
      </c>
      <c r="J20">
        <v>2010</v>
      </c>
    </row>
    <row r="21" spans="1:10">
      <c r="A21" t="s">
        <v>109</v>
      </c>
      <c r="B21">
        <v>54242</v>
      </c>
      <c r="C21">
        <v>206254</v>
      </c>
      <c r="D21">
        <v>197353</v>
      </c>
      <c r="E21">
        <v>197353</v>
      </c>
      <c r="F21">
        <v>197353</v>
      </c>
      <c r="G21">
        <v>0</v>
      </c>
      <c r="H21" t="s">
        <v>260</v>
      </c>
      <c r="I21">
        <v>4</v>
      </c>
      <c r="J21">
        <v>2010</v>
      </c>
    </row>
    <row r="22" spans="1:10">
      <c r="A22" t="s">
        <v>113</v>
      </c>
      <c r="B22">
        <v>308670</v>
      </c>
      <c r="C22">
        <v>345429</v>
      </c>
      <c r="D22">
        <v>337491</v>
      </c>
      <c r="E22">
        <v>337491</v>
      </c>
      <c r="F22">
        <v>337491</v>
      </c>
      <c r="G22">
        <v>0</v>
      </c>
      <c r="H22" t="s">
        <v>260</v>
      </c>
      <c r="I22">
        <v>4</v>
      </c>
      <c r="J22">
        <v>2010</v>
      </c>
    </row>
    <row r="23" spans="1:10">
      <c r="A23" t="s">
        <v>119</v>
      </c>
      <c r="B23">
        <v>198023</v>
      </c>
      <c r="C23">
        <v>204363</v>
      </c>
      <c r="D23">
        <v>183192</v>
      </c>
      <c r="E23">
        <v>183192</v>
      </c>
      <c r="F23">
        <v>183192</v>
      </c>
      <c r="G23">
        <v>0</v>
      </c>
      <c r="H23" t="s">
        <v>260</v>
      </c>
      <c r="I23">
        <v>4</v>
      </c>
      <c r="J23">
        <v>2010</v>
      </c>
    </row>
    <row r="24" spans="1:10">
      <c r="A24" t="s">
        <v>121</v>
      </c>
      <c r="B24">
        <v>13000</v>
      </c>
      <c r="C24">
        <v>17640</v>
      </c>
      <c r="D24">
        <v>17640</v>
      </c>
      <c r="E24">
        <v>17640</v>
      </c>
      <c r="F24">
        <v>17640</v>
      </c>
      <c r="G24">
        <v>0</v>
      </c>
      <c r="H24" t="s">
        <v>260</v>
      </c>
      <c r="I24">
        <v>4</v>
      </c>
      <c r="J24">
        <v>2010</v>
      </c>
    </row>
    <row r="25" spans="1:10">
      <c r="A25" t="s">
        <v>123</v>
      </c>
      <c r="B25">
        <v>8000</v>
      </c>
      <c r="C25">
        <v>0</v>
      </c>
      <c r="D25">
        <v>0</v>
      </c>
      <c r="E25">
        <v>0</v>
      </c>
      <c r="F25">
        <v>0</v>
      </c>
      <c r="G25">
        <v>0</v>
      </c>
      <c r="H25" t="s">
        <v>260</v>
      </c>
      <c r="I25">
        <v>4</v>
      </c>
      <c r="J25">
        <v>2010</v>
      </c>
    </row>
    <row r="26" spans="1:10">
      <c r="A26" t="s">
        <v>125</v>
      </c>
      <c r="B26">
        <v>25405</v>
      </c>
      <c r="C26">
        <v>185405</v>
      </c>
      <c r="D26">
        <v>149974</v>
      </c>
      <c r="E26">
        <v>149974</v>
      </c>
      <c r="F26">
        <v>124056</v>
      </c>
      <c r="G26">
        <v>0</v>
      </c>
      <c r="H26" t="s">
        <v>260</v>
      </c>
      <c r="I26">
        <v>4</v>
      </c>
      <c r="J26">
        <v>2010</v>
      </c>
    </row>
    <row r="27" spans="1:10">
      <c r="A27" t="s">
        <v>127</v>
      </c>
      <c r="B27">
        <v>14606</v>
      </c>
      <c r="C27">
        <v>26993</v>
      </c>
      <c r="D27">
        <v>26940</v>
      </c>
      <c r="E27">
        <v>26940</v>
      </c>
      <c r="F27">
        <v>26940</v>
      </c>
      <c r="G27">
        <v>0</v>
      </c>
      <c r="H27" t="s">
        <v>260</v>
      </c>
      <c r="I27">
        <v>4</v>
      </c>
      <c r="J27">
        <v>2010</v>
      </c>
    </row>
    <row r="28" spans="1:10">
      <c r="A28" t="s">
        <v>131</v>
      </c>
      <c r="B28">
        <v>0</v>
      </c>
      <c r="C28">
        <v>8592</v>
      </c>
      <c r="D28">
        <v>1465</v>
      </c>
      <c r="E28">
        <v>1465</v>
      </c>
      <c r="F28">
        <v>1465</v>
      </c>
      <c r="G28">
        <v>0</v>
      </c>
      <c r="H28" t="s">
        <v>260</v>
      </c>
      <c r="I28">
        <v>4</v>
      </c>
      <c r="J28">
        <v>2010</v>
      </c>
    </row>
    <row r="29" spans="1:10">
      <c r="A29" t="s">
        <v>254</v>
      </c>
      <c r="B29">
        <v>0</v>
      </c>
      <c r="C29">
        <v>0</v>
      </c>
      <c r="D29">
        <v>15650</v>
      </c>
      <c r="E29">
        <v>11286</v>
      </c>
      <c r="F29">
        <v>11286</v>
      </c>
      <c r="G29">
        <v>0</v>
      </c>
      <c r="H29" t="s">
        <v>260</v>
      </c>
      <c r="I29">
        <v>4</v>
      </c>
      <c r="J29">
        <v>2010</v>
      </c>
    </row>
    <row r="30" spans="1:10">
      <c r="A30" t="s">
        <v>137</v>
      </c>
      <c r="B30">
        <v>2000</v>
      </c>
      <c r="C30">
        <v>93527</v>
      </c>
      <c r="D30">
        <v>93527</v>
      </c>
      <c r="E30">
        <v>93527</v>
      </c>
      <c r="F30">
        <v>93527</v>
      </c>
      <c r="G30">
        <v>0</v>
      </c>
      <c r="H30" t="s">
        <v>260</v>
      </c>
      <c r="I30">
        <v>4</v>
      </c>
      <c r="J30">
        <v>2010</v>
      </c>
    </row>
    <row r="31" spans="1:10">
      <c r="A31" t="s">
        <v>145</v>
      </c>
      <c r="B31">
        <v>197738</v>
      </c>
      <c r="C31">
        <v>224242</v>
      </c>
      <c r="D31">
        <v>212749</v>
      </c>
      <c r="E31">
        <v>212749</v>
      </c>
      <c r="F31">
        <v>212749</v>
      </c>
      <c r="G31">
        <v>0</v>
      </c>
      <c r="H31" t="s">
        <v>260</v>
      </c>
      <c r="I31">
        <v>4</v>
      </c>
      <c r="J31">
        <v>2010</v>
      </c>
    </row>
    <row r="32" spans="1:10">
      <c r="A32" t="s">
        <v>147</v>
      </c>
      <c r="B32">
        <v>2871272</v>
      </c>
      <c r="C32">
        <v>4786266</v>
      </c>
      <c r="D32">
        <v>4420449</v>
      </c>
      <c r="E32">
        <v>4086282</v>
      </c>
      <c r="F32">
        <v>4086282</v>
      </c>
      <c r="G32">
        <v>0</v>
      </c>
      <c r="H32" t="s">
        <v>260</v>
      </c>
      <c r="I32">
        <v>4</v>
      </c>
      <c r="J32">
        <v>2010</v>
      </c>
    </row>
    <row r="33" spans="1:10">
      <c r="A33" t="s">
        <v>149</v>
      </c>
      <c r="B33">
        <v>164150</v>
      </c>
      <c r="C33">
        <v>138607</v>
      </c>
      <c r="D33">
        <v>125739</v>
      </c>
      <c r="E33">
        <v>125739</v>
      </c>
      <c r="F33">
        <v>115876</v>
      </c>
      <c r="G33">
        <v>0</v>
      </c>
      <c r="H33" t="s">
        <v>260</v>
      </c>
      <c r="I33">
        <v>4</v>
      </c>
      <c r="J33">
        <v>2010</v>
      </c>
    </row>
    <row r="34" spans="1:10">
      <c r="A34" t="s">
        <v>151</v>
      </c>
      <c r="B34">
        <v>0</v>
      </c>
      <c r="C34">
        <v>423000</v>
      </c>
      <c r="D34">
        <v>0</v>
      </c>
      <c r="E34">
        <v>0</v>
      </c>
      <c r="F34">
        <v>0</v>
      </c>
      <c r="G34">
        <v>0</v>
      </c>
      <c r="H34" t="s">
        <v>260</v>
      </c>
      <c r="I34">
        <v>4</v>
      </c>
      <c r="J34">
        <v>2010</v>
      </c>
    </row>
    <row r="35" spans="1:10">
      <c r="A35" t="s">
        <v>153</v>
      </c>
      <c r="B35">
        <v>666373</v>
      </c>
      <c r="C35">
        <v>1139184</v>
      </c>
      <c r="D35">
        <v>953107</v>
      </c>
      <c r="E35">
        <v>924742</v>
      </c>
      <c r="F35">
        <v>924742</v>
      </c>
      <c r="G35">
        <v>0</v>
      </c>
      <c r="H35" t="s">
        <v>260</v>
      </c>
      <c r="I35">
        <v>4</v>
      </c>
      <c r="J35">
        <v>2010</v>
      </c>
    </row>
    <row r="36" spans="1:10">
      <c r="A36" t="s">
        <v>157</v>
      </c>
      <c r="B36">
        <v>66083</v>
      </c>
      <c r="C36">
        <v>66083</v>
      </c>
      <c r="D36">
        <v>52213</v>
      </c>
      <c r="E36">
        <v>52213</v>
      </c>
      <c r="F36">
        <v>52213</v>
      </c>
      <c r="G36">
        <v>0</v>
      </c>
      <c r="H36" t="s">
        <v>260</v>
      </c>
      <c r="I36">
        <v>4</v>
      </c>
      <c r="J36">
        <v>2010</v>
      </c>
    </row>
    <row r="37" spans="1:10">
      <c r="A37" t="s">
        <v>165</v>
      </c>
      <c r="B37">
        <v>0</v>
      </c>
      <c r="C37">
        <v>3295731</v>
      </c>
      <c r="D37">
        <v>848013</v>
      </c>
      <c r="E37">
        <v>0</v>
      </c>
      <c r="F37">
        <v>0</v>
      </c>
      <c r="G37">
        <v>0</v>
      </c>
      <c r="H37" t="s">
        <v>260</v>
      </c>
      <c r="I37">
        <v>4</v>
      </c>
      <c r="J37">
        <v>2010</v>
      </c>
    </row>
    <row r="38" spans="1:10">
      <c r="A38" t="s">
        <v>167</v>
      </c>
      <c r="B38">
        <v>25468</v>
      </c>
      <c r="C38">
        <v>25468</v>
      </c>
      <c r="D38">
        <v>28510</v>
      </c>
      <c r="E38">
        <v>0</v>
      </c>
      <c r="F38">
        <v>0</v>
      </c>
      <c r="G38">
        <v>0</v>
      </c>
      <c r="H38" t="s">
        <v>260</v>
      </c>
      <c r="I38">
        <v>4</v>
      </c>
      <c r="J38">
        <v>2010</v>
      </c>
    </row>
    <row r="39" spans="1:10">
      <c r="A39" t="s">
        <v>171</v>
      </c>
      <c r="B39">
        <v>7555</v>
      </c>
      <c r="C39">
        <v>33655</v>
      </c>
      <c r="D39">
        <v>26769</v>
      </c>
      <c r="E39">
        <v>0</v>
      </c>
      <c r="F39">
        <v>0</v>
      </c>
      <c r="G39">
        <v>0</v>
      </c>
      <c r="H39" t="s">
        <v>260</v>
      </c>
      <c r="I39">
        <v>4</v>
      </c>
      <c r="J39">
        <v>2010</v>
      </c>
    </row>
    <row r="40" spans="1:10">
      <c r="A40" t="s">
        <v>175</v>
      </c>
      <c r="B40">
        <v>3137</v>
      </c>
      <c r="C40">
        <v>1068296</v>
      </c>
      <c r="D40">
        <v>1066859</v>
      </c>
      <c r="E40">
        <v>0</v>
      </c>
      <c r="F40">
        <v>0</v>
      </c>
      <c r="G40">
        <v>0</v>
      </c>
      <c r="H40" t="s">
        <v>260</v>
      </c>
      <c r="I40">
        <v>4</v>
      </c>
      <c r="J40">
        <v>2010</v>
      </c>
    </row>
    <row r="41" spans="1:10">
      <c r="A41" t="s">
        <v>185</v>
      </c>
      <c r="B41">
        <v>12353</v>
      </c>
      <c r="C41">
        <v>30335</v>
      </c>
      <c r="D41">
        <v>6249</v>
      </c>
      <c r="E41">
        <v>0</v>
      </c>
      <c r="F41">
        <v>0</v>
      </c>
      <c r="G41">
        <v>0</v>
      </c>
      <c r="H41" t="s">
        <v>260</v>
      </c>
      <c r="I41">
        <v>4</v>
      </c>
      <c r="J41">
        <v>2010</v>
      </c>
    </row>
    <row r="42" spans="1:10">
      <c r="A42" t="s">
        <v>177</v>
      </c>
      <c r="B42">
        <v>0</v>
      </c>
      <c r="C42">
        <v>1294085</v>
      </c>
      <c r="D42">
        <v>1294085</v>
      </c>
      <c r="E42">
        <v>0</v>
      </c>
      <c r="F42">
        <v>0</v>
      </c>
      <c r="G42">
        <v>0</v>
      </c>
      <c r="H42" t="s">
        <v>260</v>
      </c>
      <c r="I42">
        <v>4</v>
      </c>
      <c r="J42">
        <v>2010</v>
      </c>
    </row>
    <row r="43" spans="1:10">
      <c r="A43" t="s">
        <v>191</v>
      </c>
      <c r="B43">
        <v>222002</v>
      </c>
      <c r="C43">
        <v>435510</v>
      </c>
      <c r="D43">
        <v>251561</v>
      </c>
      <c r="E43">
        <v>251561</v>
      </c>
      <c r="F43">
        <v>251561</v>
      </c>
      <c r="G43">
        <v>0</v>
      </c>
      <c r="H43" t="s">
        <v>260</v>
      </c>
      <c r="I43">
        <v>4</v>
      </c>
      <c r="J43">
        <v>2010</v>
      </c>
    </row>
    <row r="44" spans="1:10">
      <c r="A44" t="s">
        <v>195</v>
      </c>
      <c r="B44">
        <v>323503</v>
      </c>
      <c r="C44">
        <v>754421</v>
      </c>
      <c r="D44">
        <v>480206</v>
      </c>
      <c r="E44">
        <v>177297</v>
      </c>
      <c r="F44">
        <v>153940</v>
      </c>
      <c r="G44">
        <v>0</v>
      </c>
      <c r="H44" t="s">
        <v>260</v>
      </c>
      <c r="I44">
        <v>4</v>
      </c>
      <c r="J44">
        <v>2010</v>
      </c>
    </row>
    <row r="45" spans="1:10">
      <c r="A45" t="s">
        <v>197</v>
      </c>
      <c r="B45">
        <v>41047</v>
      </c>
      <c r="C45">
        <v>270228</v>
      </c>
      <c r="D45">
        <v>77768</v>
      </c>
      <c r="E45">
        <v>46773</v>
      </c>
      <c r="F45">
        <v>46773</v>
      </c>
      <c r="G45">
        <v>0</v>
      </c>
      <c r="H45" t="s">
        <v>260</v>
      </c>
      <c r="I45">
        <v>4</v>
      </c>
      <c r="J45">
        <v>2010</v>
      </c>
    </row>
    <row r="46" spans="1:10">
      <c r="A46" t="s">
        <v>199</v>
      </c>
      <c r="B46">
        <v>148982</v>
      </c>
      <c r="C46">
        <v>740627</v>
      </c>
      <c r="D46">
        <v>720634</v>
      </c>
      <c r="E46">
        <v>356634</v>
      </c>
      <c r="F46">
        <v>356634</v>
      </c>
      <c r="G46">
        <v>0</v>
      </c>
      <c r="H46" t="s">
        <v>260</v>
      </c>
      <c r="I46">
        <v>4</v>
      </c>
      <c r="J46">
        <v>2010</v>
      </c>
    </row>
    <row r="47" spans="1:10">
      <c r="A47" t="s">
        <v>201</v>
      </c>
      <c r="B47">
        <v>216340</v>
      </c>
      <c r="C47">
        <v>2185750</v>
      </c>
      <c r="D47">
        <v>2095995</v>
      </c>
      <c r="E47">
        <v>1280316</v>
      </c>
      <c r="F47">
        <v>568080</v>
      </c>
      <c r="G47">
        <v>0</v>
      </c>
      <c r="H47" t="s">
        <v>260</v>
      </c>
      <c r="I47">
        <v>4</v>
      </c>
      <c r="J47">
        <v>2010</v>
      </c>
    </row>
    <row r="48" spans="1:10">
      <c r="A48" t="s">
        <v>255</v>
      </c>
      <c r="B48">
        <v>0</v>
      </c>
      <c r="C48">
        <v>0</v>
      </c>
      <c r="D48">
        <v>1291957</v>
      </c>
      <c r="E48">
        <v>741488</v>
      </c>
      <c r="F48">
        <v>704931</v>
      </c>
      <c r="G48">
        <v>0</v>
      </c>
      <c r="H48" t="s">
        <v>260</v>
      </c>
      <c r="I48">
        <v>4</v>
      </c>
      <c r="J48">
        <v>2010</v>
      </c>
    </row>
    <row r="49" spans="1:10">
      <c r="A49" t="s">
        <v>205</v>
      </c>
      <c r="B49">
        <v>0</v>
      </c>
      <c r="C49">
        <v>550376</v>
      </c>
      <c r="D49">
        <v>354477</v>
      </c>
      <c r="E49">
        <v>354477</v>
      </c>
      <c r="F49">
        <v>345930</v>
      </c>
      <c r="G49">
        <v>0</v>
      </c>
      <c r="H49" t="s">
        <v>260</v>
      </c>
      <c r="I49">
        <v>4</v>
      </c>
      <c r="J49">
        <v>2010</v>
      </c>
    </row>
    <row r="50" spans="1:10">
      <c r="A50" t="s">
        <v>217</v>
      </c>
      <c r="B50">
        <v>0</v>
      </c>
      <c r="C50">
        <v>833000</v>
      </c>
      <c r="D50">
        <v>832793</v>
      </c>
      <c r="E50">
        <v>0</v>
      </c>
      <c r="F50">
        <v>0</v>
      </c>
      <c r="G50">
        <v>0</v>
      </c>
      <c r="H50" t="s">
        <v>260</v>
      </c>
      <c r="I50">
        <v>4</v>
      </c>
      <c r="J50">
        <v>2010</v>
      </c>
    </row>
    <row r="51" spans="1:10">
      <c r="A51" t="s">
        <v>219</v>
      </c>
      <c r="B51">
        <v>323849</v>
      </c>
      <c r="C51">
        <v>323849</v>
      </c>
      <c r="D51">
        <v>292031</v>
      </c>
      <c r="E51">
        <v>292031</v>
      </c>
      <c r="F51">
        <v>292031</v>
      </c>
      <c r="G51">
        <v>0</v>
      </c>
      <c r="H51" t="s">
        <v>260</v>
      </c>
      <c r="I51">
        <v>4</v>
      </c>
      <c r="J51">
        <v>2010</v>
      </c>
    </row>
    <row r="52" spans="1:10">
      <c r="A52" t="s">
        <v>250</v>
      </c>
      <c r="B52">
        <v>6460660</v>
      </c>
      <c r="C52">
        <v>14974629</v>
      </c>
      <c r="D52">
        <v>12388407</v>
      </c>
      <c r="E52">
        <v>0</v>
      </c>
      <c r="F52">
        <v>0</v>
      </c>
      <c r="G52">
        <v>156414</v>
      </c>
      <c r="H52" t="s">
        <v>260</v>
      </c>
      <c r="I52">
        <v>4</v>
      </c>
      <c r="J52">
        <v>2010</v>
      </c>
    </row>
    <row r="53" spans="1:10">
      <c r="A53" t="s">
        <v>251</v>
      </c>
      <c r="B53">
        <v>1219323</v>
      </c>
      <c r="C53">
        <v>1628886</v>
      </c>
      <c r="D53">
        <v>1535352</v>
      </c>
      <c r="E53">
        <v>1535352</v>
      </c>
      <c r="F53">
        <v>1509434</v>
      </c>
      <c r="G53">
        <v>0</v>
      </c>
      <c r="H53" t="s">
        <v>260</v>
      </c>
      <c r="I53">
        <v>4</v>
      </c>
      <c r="J53">
        <v>2010</v>
      </c>
    </row>
    <row r="54" spans="1:10">
      <c r="A54" t="s">
        <v>252</v>
      </c>
      <c r="B54">
        <v>4851407</v>
      </c>
      <c r="C54">
        <v>11648211</v>
      </c>
      <c r="D54">
        <v>9692685</v>
      </c>
      <c r="E54">
        <v>7816570</v>
      </c>
      <c r="F54">
        <v>7062567</v>
      </c>
      <c r="G54">
        <v>0</v>
      </c>
      <c r="H54" t="s">
        <v>260</v>
      </c>
      <c r="I54">
        <v>4</v>
      </c>
      <c r="J54">
        <v>2010</v>
      </c>
    </row>
    <row r="55" spans="1:10">
      <c r="A55" t="s">
        <v>253</v>
      </c>
      <c r="B55">
        <v>389932</v>
      </c>
      <c r="C55">
        <v>389932</v>
      </c>
      <c r="D55">
        <v>344244</v>
      </c>
      <c r="E55">
        <v>344244</v>
      </c>
      <c r="F55">
        <v>344244</v>
      </c>
      <c r="G55">
        <v>0</v>
      </c>
      <c r="H55" t="s">
        <v>260</v>
      </c>
      <c r="I55">
        <v>4</v>
      </c>
      <c r="J55">
        <v>2010</v>
      </c>
    </row>
    <row r="56" spans="1:10">
      <c r="A56" t="s">
        <v>5</v>
      </c>
      <c r="B56">
        <v>962200</v>
      </c>
      <c r="C56">
        <v>1413801</v>
      </c>
      <c r="D56">
        <v>1331554</v>
      </c>
      <c r="E56">
        <v>0</v>
      </c>
      <c r="F56">
        <v>0</v>
      </c>
      <c r="G56">
        <v>0</v>
      </c>
      <c r="H56" t="s">
        <v>260</v>
      </c>
      <c r="I56">
        <v>4</v>
      </c>
      <c r="J56">
        <v>2010</v>
      </c>
    </row>
    <row r="57" spans="1:10">
      <c r="A57" t="s">
        <v>6</v>
      </c>
      <c r="B57">
        <v>5475415</v>
      </c>
      <c r="C57">
        <v>7005726</v>
      </c>
      <c r="D57">
        <v>6982085</v>
      </c>
      <c r="E57">
        <v>0</v>
      </c>
      <c r="F57">
        <v>0</v>
      </c>
      <c r="G57">
        <v>156414</v>
      </c>
      <c r="H57" t="s">
        <v>260</v>
      </c>
      <c r="I57">
        <v>4</v>
      </c>
      <c r="J57">
        <v>2010</v>
      </c>
    </row>
    <row r="58" spans="1:10">
      <c r="A58" t="s">
        <v>7</v>
      </c>
      <c r="B58">
        <v>23045</v>
      </c>
      <c r="C58">
        <v>6555102</v>
      </c>
      <c r="D58">
        <v>4074768</v>
      </c>
      <c r="E58">
        <v>0</v>
      </c>
      <c r="F58">
        <v>0</v>
      </c>
      <c r="G58">
        <v>0</v>
      </c>
      <c r="H58" t="s">
        <v>260</v>
      </c>
      <c r="I58">
        <v>4</v>
      </c>
      <c r="J58">
        <v>2010</v>
      </c>
    </row>
    <row r="59" spans="1:10">
      <c r="A59" t="s">
        <v>8</v>
      </c>
      <c r="B59">
        <v>1021300</v>
      </c>
      <c r="C59">
        <v>1424523</v>
      </c>
      <c r="D59">
        <v>1352160</v>
      </c>
      <c r="E59">
        <v>1352160</v>
      </c>
      <c r="F59">
        <v>1326242</v>
      </c>
      <c r="G59">
        <v>0</v>
      </c>
      <c r="H59" t="s">
        <v>260</v>
      </c>
      <c r="I59">
        <v>4</v>
      </c>
      <c r="J59">
        <v>2010</v>
      </c>
    </row>
    <row r="60" spans="1:10">
      <c r="A60" t="s">
        <v>9</v>
      </c>
      <c r="B60">
        <v>119761</v>
      </c>
      <c r="C60">
        <v>127111</v>
      </c>
      <c r="D60">
        <v>107592</v>
      </c>
      <c r="E60">
        <v>107592</v>
      </c>
      <c r="F60">
        <v>107592</v>
      </c>
      <c r="G60">
        <v>0</v>
      </c>
      <c r="H60" t="s">
        <v>260</v>
      </c>
      <c r="I60">
        <v>4</v>
      </c>
      <c r="J60">
        <v>2010</v>
      </c>
    </row>
    <row r="61" spans="1:10">
      <c r="A61" t="s">
        <v>10</v>
      </c>
      <c r="B61">
        <v>78262</v>
      </c>
      <c r="C61">
        <v>77252</v>
      </c>
      <c r="D61">
        <v>75600</v>
      </c>
      <c r="E61">
        <v>75600</v>
      </c>
      <c r="F61">
        <v>75600</v>
      </c>
      <c r="G61">
        <v>0</v>
      </c>
      <c r="H61" t="s">
        <v>260</v>
      </c>
      <c r="I61">
        <v>4</v>
      </c>
      <c r="J61">
        <v>2010</v>
      </c>
    </row>
    <row r="62" spans="1:10">
      <c r="A62" t="s">
        <v>11</v>
      </c>
      <c r="B62">
        <v>419740</v>
      </c>
      <c r="C62">
        <v>971662</v>
      </c>
      <c r="D62">
        <v>581321</v>
      </c>
      <c r="E62">
        <v>581321</v>
      </c>
      <c r="F62">
        <v>572774</v>
      </c>
      <c r="G62">
        <v>0</v>
      </c>
      <c r="H62" t="s">
        <v>260</v>
      </c>
      <c r="I62">
        <v>4</v>
      </c>
      <c r="J62">
        <v>2010</v>
      </c>
    </row>
    <row r="63" spans="1:10">
      <c r="A63" t="s">
        <v>12</v>
      </c>
      <c r="B63">
        <v>2871272</v>
      </c>
      <c r="C63">
        <v>4786266</v>
      </c>
      <c r="D63">
        <v>4420449</v>
      </c>
      <c r="E63">
        <v>4086282</v>
      </c>
      <c r="F63">
        <v>4086282</v>
      </c>
      <c r="G63">
        <v>0</v>
      </c>
      <c r="H63" t="s">
        <v>260</v>
      </c>
      <c r="I63">
        <v>4</v>
      </c>
      <c r="J63">
        <v>2010</v>
      </c>
    </row>
    <row r="64" spans="1:10">
      <c r="A64" t="s">
        <v>13</v>
      </c>
      <c r="B64">
        <v>487653</v>
      </c>
      <c r="C64">
        <v>893028</v>
      </c>
      <c r="D64">
        <v>605945</v>
      </c>
      <c r="E64">
        <v>303036</v>
      </c>
      <c r="F64">
        <v>269816</v>
      </c>
      <c r="G64">
        <v>0</v>
      </c>
      <c r="H64" t="s">
        <v>260</v>
      </c>
      <c r="I64">
        <v>4</v>
      </c>
      <c r="J64">
        <v>2010</v>
      </c>
    </row>
    <row r="65" spans="1:10">
      <c r="A65" t="s">
        <v>14</v>
      </c>
      <c r="B65">
        <v>77210</v>
      </c>
      <c r="C65">
        <v>125206</v>
      </c>
      <c r="D65">
        <v>96341</v>
      </c>
      <c r="E65">
        <v>96341</v>
      </c>
      <c r="F65">
        <v>96341</v>
      </c>
      <c r="G65">
        <v>0</v>
      </c>
      <c r="H65" t="s">
        <v>260</v>
      </c>
      <c r="I65">
        <v>4</v>
      </c>
      <c r="J65">
        <v>2010</v>
      </c>
    </row>
    <row r="66" spans="1:10">
      <c r="A66" t="s">
        <v>15</v>
      </c>
      <c r="B66">
        <v>59170</v>
      </c>
      <c r="C66">
        <v>89282</v>
      </c>
      <c r="D66">
        <v>86234</v>
      </c>
      <c r="E66">
        <v>86234</v>
      </c>
      <c r="F66">
        <v>86234</v>
      </c>
      <c r="G66">
        <v>0</v>
      </c>
      <c r="H66" t="s">
        <v>260</v>
      </c>
      <c r="I66">
        <v>4</v>
      </c>
      <c r="J66">
        <v>2010</v>
      </c>
    </row>
    <row r="67" spans="1:10">
      <c r="A67" t="s">
        <v>16</v>
      </c>
      <c r="B67">
        <v>63006</v>
      </c>
      <c r="C67">
        <v>251745</v>
      </c>
      <c r="D67">
        <v>241101</v>
      </c>
      <c r="E67">
        <v>241101</v>
      </c>
      <c r="F67">
        <v>241101</v>
      </c>
      <c r="G67">
        <v>0</v>
      </c>
      <c r="H67" t="s">
        <v>260</v>
      </c>
      <c r="I67">
        <v>4</v>
      </c>
      <c r="J67">
        <v>2010</v>
      </c>
    </row>
    <row r="68" spans="1:10">
      <c r="A68" t="s">
        <v>17</v>
      </c>
      <c r="B68">
        <v>41047</v>
      </c>
      <c r="C68">
        <v>882028</v>
      </c>
      <c r="D68">
        <v>266568</v>
      </c>
      <c r="E68">
        <v>235573</v>
      </c>
      <c r="F68">
        <v>235573</v>
      </c>
      <c r="G68">
        <v>0</v>
      </c>
      <c r="H68" t="s">
        <v>260</v>
      </c>
      <c r="I68">
        <v>4</v>
      </c>
      <c r="J68">
        <v>2010</v>
      </c>
    </row>
    <row r="69" spans="1:10">
      <c r="A69" t="s">
        <v>18</v>
      </c>
      <c r="B69">
        <v>136137</v>
      </c>
      <c r="C69">
        <v>151537</v>
      </c>
      <c r="D69">
        <v>139439</v>
      </c>
      <c r="E69">
        <v>132086</v>
      </c>
      <c r="F69">
        <v>132086</v>
      </c>
      <c r="G69">
        <v>0</v>
      </c>
      <c r="H69" t="s">
        <v>260</v>
      </c>
      <c r="I69">
        <v>4</v>
      </c>
      <c r="J69">
        <v>2010</v>
      </c>
    </row>
    <row r="70" spans="1:10">
      <c r="A70" t="s">
        <v>19</v>
      </c>
      <c r="B70">
        <v>148982</v>
      </c>
      <c r="C70">
        <v>765557</v>
      </c>
      <c r="D70">
        <v>745564</v>
      </c>
      <c r="E70">
        <v>381564</v>
      </c>
      <c r="F70">
        <v>381564</v>
      </c>
      <c r="G70">
        <v>0</v>
      </c>
      <c r="H70" t="s">
        <v>260</v>
      </c>
      <c r="I70">
        <v>4</v>
      </c>
      <c r="J70">
        <v>2010</v>
      </c>
    </row>
    <row r="71" spans="1:10">
      <c r="A71" t="s">
        <v>20</v>
      </c>
      <c r="B71">
        <v>547190</v>
      </c>
      <c r="C71">
        <v>2731900</v>
      </c>
      <c r="D71">
        <v>2509723</v>
      </c>
      <c r="E71">
        <v>1673032</v>
      </c>
      <c r="F71">
        <v>960796</v>
      </c>
      <c r="G71">
        <v>0</v>
      </c>
      <c r="H71" t="s">
        <v>260</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114"/>
  <sheetViews>
    <sheetView workbookViewId="0">
      <selection activeCell="E1" sqref="E1"/>
    </sheetView>
  </sheetViews>
  <sheetFormatPr baseColWidth="10" defaultRowHeight="12.75"/>
  <cols>
    <col min="1" max="1" width="3.42578125" style="33" customWidth="1"/>
    <col min="2" max="2" width="13.7109375" style="33" bestFit="1" customWidth="1"/>
    <col min="3" max="7" width="11.42578125" style="33"/>
    <col min="8" max="8" width="13.42578125" style="33" customWidth="1"/>
    <col min="9" max="9" width="6.5703125" style="33" customWidth="1"/>
    <col min="10" max="10" width="3.42578125" style="33" customWidth="1"/>
    <col min="11" max="16" width="11.42578125" style="33"/>
    <col min="17" max="17" width="15.5703125" style="33" customWidth="1"/>
    <col min="18" max="18" width="9.7109375" style="33" customWidth="1"/>
    <col min="19" max="16384" width="11.42578125" style="33"/>
  </cols>
  <sheetData>
    <row r="1" spans="1:4">
      <c r="B1" s="215" t="str">
        <f>+'Datos '!B6</f>
        <v>TESALIA</v>
      </c>
      <c r="C1" s="215"/>
      <c r="D1" s="215"/>
    </row>
    <row r="10" spans="1:4">
      <c r="A10" s="34"/>
    </row>
    <row r="66" spans="2:2">
      <c r="B66" s="35"/>
    </row>
    <row r="81" spans="2:7">
      <c r="B81" s="34"/>
      <c r="D81" s="36"/>
      <c r="G81" s="37"/>
    </row>
    <row r="82" spans="2:7">
      <c r="B82" s="34"/>
      <c r="G82" s="37"/>
    </row>
    <row r="83" spans="2:7">
      <c r="G83" s="38"/>
    </row>
    <row r="89" spans="2:7">
      <c r="B89" s="39"/>
    </row>
    <row r="114" spans="1:1">
      <c r="A114"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U136"/>
  <sheetViews>
    <sheetView workbookViewId="0">
      <selection activeCell="E1" sqref="E1"/>
    </sheetView>
  </sheetViews>
  <sheetFormatPr baseColWidth="10" defaultRowHeight="12.75"/>
  <cols>
    <col min="1" max="1" width="3.42578125" style="129" customWidth="1"/>
    <col min="2" max="2" width="13.7109375" style="129" bestFit="1" customWidth="1"/>
    <col min="3" max="8" width="11.42578125" style="129"/>
    <col min="9" max="9" width="13.42578125" style="129" customWidth="1"/>
    <col min="10" max="10" width="6.5703125" style="129" customWidth="1"/>
    <col min="11" max="11" width="3.42578125" style="129" customWidth="1"/>
    <col min="12" max="18" width="11.42578125" style="129"/>
    <col min="19" max="19" width="15.5703125" style="129" customWidth="1"/>
    <col min="20" max="20" width="9.7109375" style="129" customWidth="1"/>
    <col min="21" max="16384" width="11.42578125" style="129"/>
  </cols>
  <sheetData>
    <row r="1" spans="1:21">
      <c r="B1" s="213" t="str">
        <f>+'Datos '!B4</f>
        <v>HUILA</v>
      </c>
      <c r="C1" s="214"/>
      <c r="D1" s="214"/>
    </row>
    <row r="6" spans="1:21" ht="18">
      <c r="U6" s="136"/>
    </row>
    <row r="7" spans="1:21" ht="18">
      <c r="U7" s="136"/>
    </row>
    <row r="16" spans="1:21">
      <c r="A16" s="128"/>
    </row>
    <row r="80" spans="2:2">
      <c r="B80" s="130"/>
    </row>
    <row r="81" spans="2:14">
      <c r="L81" s="129" t="s">
        <v>540</v>
      </c>
      <c r="M81" s="162">
        <v>32382.819</v>
      </c>
      <c r="N81" s="164">
        <f>+M81/$M$88*100</f>
        <v>44.607413241691582</v>
      </c>
    </row>
    <row r="82" spans="2:14">
      <c r="L82" s="129" t="s">
        <v>541</v>
      </c>
      <c r="M82" s="162">
        <v>6861.1809999999996</v>
      </c>
      <c r="N82" s="164">
        <f t="shared" ref="N82:N88" si="0">+M82/$M$88*100</f>
        <v>9.4512937923360738</v>
      </c>
    </row>
    <row r="83" spans="2:14">
      <c r="L83" s="129" t="s">
        <v>542</v>
      </c>
      <c r="M83" s="162">
        <v>2875.8229999999999</v>
      </c>
      <c r="N83" s="164">
        <f t="shared" si="0"/>
        <v>3.9614532932096247</v>
      </c>
    </row>
    <row r="84" spans="2:14">
      <c r="L84" s="129" t="s">
        <v>543</v>
      </c>
      <c r="M84" s="162">
        <v>3866.1750000000002</v>
      </c>
      <c r="N84" s="164">
        <f t="shared" si="0"/>
        <v>5.3256656219366505</v>
      </c>
    </row>
    <row r="85" spans="2:14">
      <c r="L85" s="129" t="s">
        <v>544</v>
      </c>
      <c r="M85" s="162">
        <v>444.39699999999999</v>
      </c>
      <c r="N85" s="164">
        <f t="shared" si="0"/>
        <v>0.61215796630824559</v>
      </c>
    </row>
    <row r="86" spans="2:14">
      <c r="L86" s="129" t="s">
        <v>545</v>
      </c>
      <c r="M86" s="162">
        <v>3178.06</v>
      </c>
      <c r="N86" s="164">
        <f t="shared" si="0"/>
        <v>4.3777855080155419</v>
      </c>
    </row>
    <row r="87" spans="2:14">
      <c r="L87" s="129" t="s">
        <v>546</v>
      </c>
      <c r="M87" s="162">
        <v>22986.696</v>
      </c>
      <c r="N87" s="164">
        <f t="shared" si="0"/>
        <v>31.664230576502277</v>
      </c>
    </row>
    <row r="88" spans="2:14">
      <c r="L88" s="129" t="s">
        <v>547</v>
      </c>
      <c r="M88" s="163">
        <f>SUM(M81:M87)</f>
        <v>72595.150999999998</v>
      </c>
      <c r="N88" s="164">
        <f t="shared" si="0"/>
        <v>100</v>
      </c>
    </row>
    <row r="95" spans="2:14">
      <c r="B95" s="128"/>
      <c r="D95" s="131"/>
      <c r="H95" s="132"/>
    </row>
    <row r="96" spans="2:14">
      <c r="B96" s="128"/>
      <c r="H96" s="132"/>
    </row>
    <row r="97" spans="2:8">
      <c r="H97" s="133"/>
    </row>
    <row r="103" spans="2:8">
      <c r="B103" s="134"/>
    </row>
    <row r="104" spans="2:8">
      <c r="G104" s="129">
        <f>60000/135837*100</f>
        <v>44.170586806245723</v>
      </c>
    </row>
    <row r="124" spans="1:17" ht="15.75">
      <c r="M124" s="209" t="s">
        <v>550</v>
      </c>
      <c r="N124" s="209" t="s">
        <v>551</v>
      </c>
      <c r="O124" s="209" t="s">
        <v>552</v>
      </c>
      <c r="P124" s="209" t="s">
        <v>547</v>
      </c>
      <c r="Q124" s="209" t="s">
        <v>553</v>
      </c>
    </row>
    <row r="125" spans="1:17">
      <c r="M125" s="206">
        <v>2011</v>
      </c>
      <c r="N125" s="207">
        <v>78000</v>
      </c>
      <c r="O125" s="207">
        <v>1280</v>
      </c>
      <c r="P125" s="207">
        <f>+O125+N125</f>
        <v>79280</v>
      </c>
      <c r="Q125" s="208">
        <f>+P125/$P$133*100</f>
        <v>14.102094324654118</v>
      </c>
    </row>
    <row r="126" spans="1:17">
      <c r="M126" s="206">
        <v>2012</v>
      </c>
      <c r="N126" s="207">
        <v>75400</v>
      </c>
      <c r="O126" s="207">
        <v>1306</v>
      </c>
      <c r="P126" s="207">
        <f t="shared" ref="P126:P133" si="1">+O126+N126</f>
        <v>76706</v>
      </c>
      <c r="Q126" s="208">
        <f t="shared" ref="Q126:Q133" si="2">+P126/$P$133*100</f>
        <v>13.644238739491913</v>
      </c>
    </row>
    <row r="127" spans="1:17">
      <c r="M127" s="206">
        <v>2013</v>
      </c>
      <c r="N127" s="207">
        <v>72800</v>
      </c>
      <c r="O127" s="207">
        <v>1332</v>
      </c>
      <c r="P127" s="207">
        <f t="shared" si="1"/>
        <v>74132</v>
      </c>
      <c r="Q127" s="208">
        <f t="shared" si="2"/>
        <v>13.186383154329706</v>
      </c>
    </row>
    <row r="128" spans="1:17">
      <c r="A128" s="135"/>
      <c r="M128" s="206">
        <v>2014</v>
      </c>
      <c r="N128" s="207">
        <v>70200</v>
      </c>
      <c r="O128" s="207">
        <v>1358</v>
      </c>
      <c r="P128" s="207">
        <f t="shared" si="1"/>
        <v>71558</v>
      </c>
      <c r="Q128" s="208">
        <f t="shared" si="2"/>
        <v>12.7285275691675</v>
      </c>
    </row>
    <row r="129" spans="13:17">
      <c r="M129" s="206">
        <v>2015</v>
      </c>
      <c r="N129" s="207">
        <v>67600</v>
      </c>
      <c r="O129" s="207">
        <v>1386</v>
      </c>
      <c r="P129" s="207">
        <f t="shared" si="1"/>
        <v>68986</v>
      </c>
      <c r="Q129" s="208">
        <f t="shared" si="2"/>
        <v>12.271027738150719</v>
      </c>
    </row>
    <row r="130" spans="13:17">
      <c r="M130" s="206">
        <v>2016</v>
      </c>
      <c r="N130" s="207">
        <v>65000</v>
      </c>
      <c r="O130" s="207">
        <v>1413</v>
      </c>
      <c r="P130" s="207">
        <f t="shared" si="1"/>
        <v>66413</v>
      </c>
      <c r="Q130" s="208">
        <f t="shared" si="2"/>
        <v>11.813350030061226</v>
      </c>
    </row>
    <row r="131" spans="13:17">
      <c r="M131" s="206">
        <v>2017</v>
      </c>
      <c r="N131" s="207">
        <v>62400</v>
      </c>
      <c r="O131" s="207">
        <v>1441</v>
      </c>
      <c r="P131" s="207">
        <f t="shared" si="1"/>
        <v>63841</v>
      </c>
      <c r="Q131" s="208">
        <f t="shared" si="2"/>
        <v>11.355850199044443</v>
      </c>
    </row>
    <row r="132" spans="13:17">
      <c r="M132" s="206">
        <v>2018</v>
      </c>
      <c r="N132" s="207">
        <v>59800</v>
      </c>
      <c r="O132" s="207">
        <v>1470</v>
      </c>
      <c r="P132" s="207">
        <f t="shared" si="1"/>
        <v>61270</v>
      </c>
      <c r="Q132" s="208">
        <f t="shared" si="2"/>
        <v>10.898528245100376</v>
      </c>
    </row>
    <row r="133" spans="13:17" ht="15.75">
      <c r="M133" s="210" t="s">
        <v>547</v>
      </c>
      <c r="N133" s="210">
        <f>SUM(N125:N132)</f>
        <v>551200</v>
      </c>
      <c r="O133" s="210">
        <f>SUM(O125:O132)</f>
        <v>10986</v>
      </c>
      <c r="P133" s="210">
        <f t="shared" si="1"/>
        <v>562186</v>
      </c>
      <c r="Q133" s="211">
        <f t="shared" si="2"/>
        <v>100</v>
      </c>
    </row>
    <row r="135" spans="13:17">
      <c r="N135" s="129">
        <v>73600</v>
      </c>
    </row>
    <row r="136" spans="13:17">
      <c r="N136" s="205">
        <f>+N135+N133</f>
        <v>624800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oja3"/>
  <dimension ref="A1:O2"/>
  <sheetViews>
    <sheetView workbookViewId="0"/>
  </sheetViews>
  <sheetFormatPr baseColWidth="10" defaultRowHeight="15"/>
  <sheetData>
    <row r="1" spans="1:15">
      <c r="A1" t="s">
        <v>21</v>
      </c>
      <c r="B1" t="s">
        <v>261</v>
      </c>
      <c r="C1" t="s">
        <v>262</v>
      </c>
      <c r="D1" t="s">
        <v>263</v>
      </c>
      <c r="E1" t="s">
        <v>264</v>
      </c>
      <c r="F1" t="s">
        <v>265</v>
      </c>
      <c r="G1" t="s">
        <v>266</v>
      </c>
      <c r="H1" t="s">
        <v>267</v>
      </c>
      <c r="I1" t="s">
        <v>268</v>
      </c>
      <c r="J1" t="s">
        <v>269</v>
      </c>
      <c r="K1" t="s">
        <v>270</v>
      </c>
      <c r="L1" t="s">
        <v>271</v>
      </c>
      <c r="M1" t="s">
        <v>272</v>
      </c>
      <c r="N1" t="s">
        <v>273</v>
      </c>
      <c r="O1" t="s">
        <v>274</v>
      </c>
    </row>
    <row r="2" spans="1:15">
      <c r="A2">
        <v>210205002</v>
      </c>
      <c r="B2" t="s">
        <v>275</v>
      </c>
      <c r="C2" t="s">
        <v>276</v>
      </c>
      <c r="D2" t="s">
        <v>277</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16"/>
  <sheetViews>
    <sheetView tabSelected="1" zoomScale="150" zoomScaleNormal="150" workbookViewId="0">
      <selection activeCell="B15" sqref="B15"/>
    </sheetView>
  </sheetViews>
  <sheetFormatPr baseColWidth="10" defaultColWidth="12" defaultRowHeight="12.75"/>
  <cols>
    <col min="1" max="1" width="18.7109375" style="29" customWidth="1"/>
    <col min="2" max="2" width="52" style="29" customWidth="1"/>
    <col min="3" max="3" width="14.85546875" style="29" customWidth="1"/>
    <col min="4" max="4" width="12" style="29" customWidth="1"/>
    <col min="5" max="242" width="12" style="29"/>
    <col min="243" max="243" width="18.7109375" style="29" customWidth="1"/>
    <col min="244" max="244" width="52" style="29" customWidth="1"/>
    <col min="245" max="247" width="0" style="29" hidden="1" customWidth="1"/>
    <col min="248" max="248" width="13" style="29" customWidth="1"/>
    <col min="249" max="251" width="12" style="29" customWidth="1"/>
    <col min="252" max="252" width="13.5703125" style="29" customWidth="1"/>
    <col min="253" max="253" width="12" style="29" customWidth="1"/>
    <col min="254" max="254" width="16" style="29" customWidth="1"/>
    <col min="255" max="255" width="14.28515625" style="29" customWidth="1"/>
    <col min="256" max="498" width="12" style="29"/>
    <col min="499" max="499" width="18.7109375" style="29" customWidth="1"/>
    <col min="500" max="500" width="52" style="29" customWidth="1"/>
    <col min="501" max="503" width="0" style="29" hidden="1" customWidth="1"/>
    <col min="504" max="504" width="13" style="29" customWidth="1"/>
    <col min="505" max="507" width="12" style="29" customWidth="1"/>
    <col min="508" max="508" width="13.5703125" style="29" customWidth="1"/>
    <col min="509" max="509" width="12" style="29" customWidth="1"/>
    <col min="510" max="510" width="16" style="29" customWidth="1"/>
    <col min="511" max="511" width="14.28515625" style="29" customWidth="1"/>
    <col min="512" max="754" width="12" style="29"/>
    <col min="755" max="755" width="18.7109375" style="29" customWidth="1"/>
    <col min="756" max="756" width="52" style="29" customWidth="1"/>
    <col min="757" max="759" width="0" style="29" hidden="1" customWidth="1"/>
    <col min="760" max="760" width="13" style="29" customWidth="1"/>
    <col min="761" max="763" width="12" style="29" customWidth="1"/>
    <col min="764" max="764" width="13.5703125" style="29" customWidth="1"/>
    <col min="765" max="765" width="12" style="29" customWidth="1"/>
    <col min="766" max="766" width="16" style="29" customWidth="1"/>
    <col min="767" max="767" width="14.28515625" style="29" customWidth="1"/>
    <col min="768" max="1010" width="12" style="29"/>
    <col min="1011" max="1011" width="18.7109375" style="29" customWidth="1"/>
    <col min="1012" max="1012" width="52" style="29" customWidth="1"/>
    <col min="1013" max="1015" width="0" style="29" hidden="1" customWidth="1"/>
    <col min="1016" max="1016" width="13" style="29" customWidth="1"/>
    <col min="1017" max="1019" width="12" style="29" customWidth="1"/>
    <col min="1020" max="1020" width="13.5703125" style="29" customWidth="1"/>
    <col min="1021" max="1021" width="12" style="29" customWidth="1"/>
    <col min="1022" max="1022" width="16" style="29" customWidth="1"/>
    <col min="1023" max="1023" width="14.28515625" style="29" customWidth="1"/>
    <col min="1024" max="1266" width="12" style="29"/>
    <col min="1267" max="1267" width="18.7109375" style="29" customWidth="1"/>
    <col min="1268" max="1268" width="52" style="29" customWidth="1"/>
    <col min="1269" max="1271" width="0" style="29" hidden="1" customWidth="1"/>
    <col min="1272" max="1272" width="13" style="29" customWidth="1"/>
    <col min="1273" max="1275" width="12" style="29" customWidth="1"/>
    <col min="1276" max="1276" width="13.5703125" style="29" customWidth="1"/>
    <col min="1277" max="1277" width="12" style="29" customWidth="1"/>
    <col min="1278" max="1278" width="16" style="29" customWidth="1"/>
    <col min="1279" max="1279" width="14.28515625" style="29" customWidth="1"/>
    <col min="1280" max="1522" width="12" style="29"/>
    <col min="1523" max="1523" width="18.7109375" style="29" customWidth="1"/>
    <col min="1524" max="1524" width="52" style="29" customWidth="1"/>
    <col min="1525" max="1527" width="0" style="29" hidden="1" customWidth="1"/>
    <col min="1528" max="1528" width="13" style="29" customWidth="1"/>
    <col min="1529" max="1531" width="12" style="29" customWidth="1"/>
    <col min="1532" max="1532" width="13.5703125" style="29" customWidth="1"/>
    <col min="1533" max="1533" width="12" style="29" customWidth="1"/>
    <col min="1534" max="1534" width="16" style="29" customWidth="1"/>
    <col min="1535" max="1535" width="14.28515625" style="29" customWidth="1"/>
    <col min="1536" max="1778" width="12" style="29"/>
    <col min="1779" max="1779" width="18.7109375" style="29" customWidth="1"/>
    <col min="1780" max="1780" width="52" style="29" customWidth="1"/>
    <col min="1781" max="1783" width="0" style="29" hidden="1" customWidth="1"/>
    <col min="1784" max="1784" width="13" style="29" customWidth="1"/>
    <col min="1785" max="1787" width="12" style="29" customWidth="1"/>
    <col min="1788" max="1788" width="13.5703125" style="29" customWidth="1"/>
    <col min="1789" max="1789" width="12" style="29" customWidth="1"/>
    <col min="1790" max="1790" width="16" style="29" customWidth="1"/>
    <col min="1791" max="1791" width="14.28515625" style="29" customWidth="1"/>
    <col min="1792" max="2034" width="12" style="29"/>
    <col min="2035" max="2035" width="18.7109375" style="29" customWidth="1"/>
    <col min="2036" max="2036" width="52" style="29" customWidth="1"/>
    <col min="2037" max="2039" width="0" style="29" hidden="1" customWidth="1"/>
    <col min="2040" max="2040" width="13" style="29" customWidth="1"/>
    <col min="2041" max="2043" width="12" style="29" customWidth="1"/>
    <col min="2044" max="2044" width="13.5703125" style="29" customWidth="1"/>
    <col min="2045" max="2045" width="12" style="29" customWidth="1"/>
    <col min="2046" max="2046" width="16" style="29" customWidth="1"/>
    <col min="2047" max="2047" width="14.28515625" style="29" customWidth="1"/>
    <col min="2048" max="2290" width="12" style="29"/>
    <col min="2291" max="2291" width="18.7109375" style="29" customWidth="1"/>
    <col min="2292" max="2292" width="52" style="29" customWidth="1"/>
    <col min="2293" max="2295" width="0" style="29" hidden="1" customWidth="1"/>
    <col min="2296" max="2296" width="13" style="29" customWidth="1"/>
    <col min="2297" max="2299" width="12" style="29" customWidth="1"/>
    <col min="2300" max="2300" width="13.5703125" style="29" customWidth="1"/>
    <col min="2301" max="2301" width="12" style="29" customWidth="1"/>
    <col min="2302" max="2302" width="16" style="29" customWidth="1"/>
    <col min="2303" max="2303" width="14.28515625" style="29" customWidth="1"/>
    <col min="2304" max="2546" width="12" style="29"/>
    <col min="2547" max="2547" width="18.7109375" style="29" customWidth="1"/>
    <col min="2548" max="2548" width="52" style="29" customWidth="1"/>
    <col min="2549" max="2551" width="0" style="29" hidden="1" customWidth="1"/>
    <col min="2552" max="2552" width="13" style="29" customWidth="1"/>
    <col min="2553" max="2555" width="12" style="29" customWidth="1"/>
    <col min="2556" max="2556" width="13.5703125" style="29" customWidth="1"/>
    <col min="2557" max="2557" width="12" style="29" customWidth="1"/>
    <col min="2558" max="2558" width="16" style="29" customWidth="1"/>
    <col min="2559" max="2559" width="14.28515625" style="29" customWidth="1"/>
    <col min="2560" max="2802" width="12" style="29"/>
    <col min="2803" max="2803" width="18.7109375" style="29" customWidth="1"/>
    <col min="2804" max="2804" width="52" style="29" customWidth="1"/>
    <col min="2805" max="2807" width="0" style="29" hidden="1" customWidth="1"/>
    <col min="2808" max="2808" width="13" style="29" customWidth="1"/>
    <col min="2809" max="2811" width="12" style="29" customWidth="1"/>
    <col min="2812" max="2812" width="13.5703125" style="29" customWidth="1"/>
    <col min="2813" max="2813" width="12" style="29" customWidth="1"/>
    <col min="2814" max="2814" width="16" style="29" customWidth="1"/>
    <col min="2815" max="2815" width="14.28515625" style="29" customWidth="1"/>
    <col min="2816" max="3058" width="12" style="29"/>
    <col min="3059" max="3059" width="18.7109375" style="29" customWidth="1"/>
    <col min="3060" max="3060" width="52" style="29" customWidth="1"/>
    <col min="3061" max="3063" width="0" style="29" hidden="1" customWidth="1"/>
    <col min="3064" max="3064" width="13" style="29" customWidth="1"/>
    <col min="3065" max="3067" width="12" style="29" customWidth="1"/>
    <col min="3068" max="3068" width="13.5703125" style="29" customWidth="1"/>
    <col min="3069" max="3069" width="12" style="29" customWidth="1"/>
    <col min="3070" max="3070" width="16" style="29" customWidth="1"/>
    <col min="3071" max="3071" width="14.28515625" style="29" customWidth="1"/>
    <col min="3072" max="3314" width="12" style="29"/>
    <col min="3315" max="3315" width="18.7109375" style="29" customWidth="1"/>
    <col min="3316" max="3316" width="52" style="29" customWidth="1"/>
    <col min="3317" max="3319" width="0" style="29" hidden="1" customWidth="1"/>
    <col min="3320" max="3320" width="13" style="29" customWidth="1"/>
    <col min="3321" max="3323" width="12" style="29" customWidth="1"/>
    <col min="3324" max="3324" width="13.5703125" style="29" customWidth="1"/>
    <col min="3325" max="3325" width="12" style="29" customWidth="1"/>
    <col min="3326" max="3326" width="16" style="29" customWidth="1"/>
    <col min="3327" max="3327" width="14.28515625" style="29" customWidth="1"/>
    <col min="3328" max="3570" width="12" style="29"/>
    <col min="3571" max="3571" width="18.7109375" style="29" customWidth="1"/>
    <col min="3572" max="3572" width="52" style="29" customWidth="1"/>
    <col min="3573" max="3575" width="0" style="29" hidden="1" customWidth="1"/>
    <col min="3576" max="3576" width="13" style="29" customWidth="1"/>
    <col min="3577" max="3579" width="12" style="29" customWidth="1"/>
    <col min="3580" max="3580" width="13.5703125" style="29" customWidth="1"/>
    <col min="3581" max="3581" width="12" style="29" customWidth="1"/>
    <col min="3582" max="3582" width="16" style="29" customWidth="1"/>
    <col min="3583" max="3583" width="14.28515625" style="29" customWidth="1"/>
    <col min="3584" max="3826" width="12" style="29"/>
    <col min="3827" max="3827" width="18.7109375" style="29" customWidth="1"/>
    <col min="3828" max="3828" width="52" style="29" customWidth="1"/>
    <col min="3829" max="3831" width="0" style="29" hidden="1" customWidth="1"/>
    <col min="3832" max="3832" width="13" style="29" customWidth="1"/>
    <col min="3833" max="3835" width="12" style="29" customWidth="1"/>
    <col min="3836" max="3836" width="13.5703125" style="29" customWidth="1"/>
    <col min="3837" max="3837" width="12" style="29" customWidth="1"/>
    <col min="3838" max="3838" width="16" style="29" customWidth="1"/>
    <col min="3839" max="3839" width="14.28515625" style="29" customWidth="1"/>
    <col min="3840" max="4082" width="12" style="29"/>
    <col min="4083" max="4083" width="18.7109375" style="29" customWidth="1"/>
    <col min="4084" max="4084" width="52" style="29" customWidth="1"/>
    <col min="4085" max="4087" width="0" style="29" hidden="1" customWidth="1"/>
    <col min="4088" max="4088" width="13" style="29" customWidth="1"/>
    <col min="4089" max="4091" width="12" style="29" customWidth="1"/>
    <col min="4092" max="4092" width="13.5703125" style="29" customWidth="1"/>
    <col min="4093" max="4093" width="12" style="29" customWidth="1"/>
    <col min="4094" max="4094" width="16" style="29" customWidth="1"/>
    <col min="4095" max="4095" width="14.28515625" style="29" customWidth="1"/>
    <col min="4096" max="4338" width="12" style="29"/>
    <col min="4339" max="4339" width="18.7109375" style="29" customWidth="1"/>
    <col min="4340" max="4340" width="52" style="29" customWidth="1"/>
    <col min="4341" max="4343" width="0" style="29" hidden="1" customWidth="1"/>
    <col min="4344" max="4344" width="13" style="29" customWidth="1"/>
    <col min="4345" max="4347" width="12" style="29" customWidth="1"/>
    <col min="4348" max="4348" width="13.5703125" style="29" customWidth="1"/>
    <col min="4349" max="4349" width="12" style="29" customWidth="1"/>
    <col min="4350" max="4350" width="16" style="29" customWidth="1"/>
    <col min="4351" max="4351" width="14.28515625" style="29" customWidth="1"/>
    <col min="4352" max="4594" width="12" style="29"/>
    <col min="4595" max="4595" width="18.7109375" style="29" customWidth="1"/>
    <col min="4596" max="4596" width="52" style="29" customWidth="1"/>
    <col min="4597" max="4599" width="0" style="29" hidden="1" customWidth="1"/>
    <col min="4600" max="4600" width="13" style="29" customWidth="1"/>
    <col min="4601" max="4603" width="12" style="29" customWidth="1"/>
    <col min="4604" max="4604" width="13.5703125" style="29" customWidth="1"/>
    <col min="4605" max="4605" width="12" style="29" customWidth="1"/>
    <col min="4606" max="4606" width="16" style="29" customWidth="1"/>
    <col min="4607" max="4607" width="14.28515625" style="29" customWidth="1"/>
    <col min="4608" max="4850" width="12" style="29"/>
    <col min="4851" max="4851" width="18.7109375" style="29" customWidth="1"/>
    <col min="4852" max="4852" width="52" style="29" customWidth="1"/>
    <col min="4853" max="4855" width="0" style="29" hidden="1" customWidth="1"/>
    <col min="4856" max="4856" width="13" style="29" customWidth="1"/>
    <col min="4857" max="4859" width="12" style="29" customWidth="1"/>
    <col min="4860" max="4860" width="13.5703125" style="29" customWidth="1"/>
    <col min="4861" max="4861" width="12" style="29" customWidth="1"/>
    <col min="4862" max="4862" width="16" style="29" customWidth="1"/>
    <col min="4863" max="4863" width="14.28515625" style="29" customWidth="1"/>
    <col min="4864" max="5106" width="12" style="29"/>
    <col min="5107" max="5107" width="18.7109375" style="29" customWidth="1"/>
    <col min="5108" max="5108" width="52" style="29" customWidth="1"/>
    <col min="5109" max="5111" width="0" style="29" hidden="1" customWidth="1"/>
    <col min="5112" max="5112" width="13" style="29" customWidth="1"/>
    <col min="5113" max="5115" width="12" style="29" customWidth="1"/>
    <col min="5116" max="5116" width="13.5703125" style="29" customWidth="1"/>
    <col min="5117" max="5117" width="12" style="29" customWidth="1"/>
    <col min="5118" max="5118" width="16" style="29" customWidth="1"/>
    <col min="5119" max="5119" width="14.28515625" style="29" customWidth="1"/>
    <col min="5120" max="5362" width="12" style="29"/>
    <col min="5363" max="5363" width="18.7109375" style="29" customWidth="1"/>
    <col min="5364" max="5364" width="52" style="29" customWidth="1"/>
    <col min="5365" max="5367" width="0" style="29" hidden="1" customWidth="1"/>
    <col min="5368" max="5368" width="13" style="29" customWidth="1"/>
    <col min="5369" max="5371" width="12" style="29" customWidth="1"/>
    <col min="5372" max="5372" width="13.5703125" style="29" customWidth="1"/>
    <col min="5373" max="5373" width="12" style="29" customWidth="1"/>
    <col min="5374" max="5374" width="16" style="29" customWidth="1"/>
    <col min="5375" max="5375" width="14.28515625" style="29" customWidth="1"/>
    <col min="5376" max="5618" width="12" style="29"/>
    <col min="5619" max="5619" width="18.7109375" style="29" customWidth="1"/>
    <col min="5620" max="5620" width="52" style="29" customWidth="1"/>
    <col min="5621" max="5623" width="0" style="29" hidden="1" customWidth="1"/>
    <col min="5624" max="5624" width="13" style="29" customWidth="1"/>
    <col min="5625" max="5627" width="12" style="29" customWidth="1"/>
    <col min="5628" max="5628" width="13.5703125" style="29" customWidth="1"/>
    <col min="5629" max="5629" width="12" style="29" customWidth="1"/>
    <col min="5630" max="5630" width="16" style="29" customWidth="1"/>
    <col min="5631" max="5631" width="14.28515625" style="29" customWidth="1"/>
    <col min="5632" max="5874" width="12" style="29"/>
    <col min="5875" max="5875" width="18.7109375" style="29" customWidth="1"/>
    <col min="5876" max="5876" width="52" style="29" customWidth="1"/>
    <col min="5877" max="5879" width="0" style="29" hidden="1" customWidth="1"/>
    <col min="5880" max="5880" width="13" style="29" customWidth="1"/>
    <col min="5881" max="5883" width="12" style="29" customWidth="1"/>
    <col min="5884" max="5884" width="13.5703125" style="29" customWidth="1"/>
    <col min="5885" max="5885" width="12" style="29" customWidth="1"/>
    <col min="5886" max="5886" width="16" style="29" customWidth="1"/>
    <col min="5887" max="5887" width="14.28515625" style="29" customWidth="1"/>
    <col min="5888" max="6130" width="12" style="29"/>
    <col min="6131" max="6131" width="18.7109375" style="29" customWidth="1"/>
    <col min="6132" max="6132" width="52" style="29" customWidth="1"/>
    <col min="6133" max="6135" width="0" style="29" hidden="1" customWidth="1"/>
    <col min="6136" max="6136" width="13" style="29" customWidth="1"/>
    <col min="6137" max="6139" width="12" style="29" customWidth="1"/>
    <col min="6140" max="6140" width="13.5703125" style="29" customWidth="1"/>
    <col min="6141" max="6141" width="12" style="29" customWidth="1"/>
    <col min="6142" max="6142" width="16" style="29" customWidth="1"/>
    <col min="6143" max="6143" width="14.28515625" style="29" customWidth="1"/>
    <col min="6144" max="6386" width="12" style="29"/>
    <col min="6387" max="6387" width="18.7109375" style="29" customWidth="1"/>
    <col min="6388" max="6388" width="52" style="29" customWidth="1"/>
    <col min="6389" max="6391" width="0" style="29" hidden="1" customWidth="1"/>
    <col min="6392" max="6392" width="13" style="29" customWidth="1"/>
    <col min="6393" max="6395" width="12" style="29" customWidth="1"/>
    <col min="6396" max="6396" width="13.5703125" style="29" customWidth="1"/>
    <col min="6397" max="6397" width="12" style="29" customWidth="1"/>
    <col min="6398" max="6398" width="16" style="29" customWidth="1"/>
    <col min="6399" max="6399" width="14.28515625" style="29" customWidth="1"/>
    <col min="6400" max="6642" width="12" style="29"/>
    <col min="6643" max="6643" width="18.7109375" style="29" customWidth="1"/>
    <col min="6644" max="6644" width="52" style="29" customWidth="1"/>
    <col min="6645" max="6647" width="0" style="29" hidden="1" customWidth="1"/>
    <col min="6648" max="6648" width="13" style="29" customWidth="1"/>
    <col min="6649" max="6651" width="12" style="29" customWidth="1"/>
    <col min="6652" max="6652" width="13.5703125" style="29" customWidth="1"/>
    <col min="6653" max="6653" width="12" style="29" customWidth="1"/>
    <col min="6654" max="6654" width="16" style="29" customWidth="1"/>
    <col min="6655" max="6655" width="14.28515625" style="29" customWidth="1"/>
    <col min="6656" max="6898" width="12" style="29"/>
    <col min="6899" max="6899" width="18.7109375" style="29" customWidth="1"/>
    <col min="6900" max="6900" width="52" style="29" customWidth="1"/>
    <col min="6901" max="6903" width="0" style="29" hidden="1" customWidth="1"/>
    <col min="6904" max="6904" width="13" style="29" customWidth="1"/>
    <col min="6905" max="6907" width="12" style="29" customWidth="1"/>
    <col min="6908" max="6908" width="13.5703125" style="29" customWidth="1"/>
    <col min="6909" max="6909" width="12" style="29" customWidth="1"/>
    <col min="6910" max="6910" width="16" style="29" customWidth="1"/>
    <col min="6911" max="6911" width="14.28515625" style="29" customWidth="1"/>
    <col min="6912" max="7154" width="12" style="29"/>
    <col min="7155" max="7155" width="18.7109375" style="29" customWidth="1"/>
    <col min="7156" max="7156" width="52" style="29" customWidth="1"/>
    <col min="7157" max="7159" width="0" style="29" hidden="1" customWidth="1"/>
    <col min="7160" max="7160" width="13" style="29" customWidth="1"/>
    <col min="7161" max="7163" width="12" style="29" customWidth="1"/>
    <col min="7164" max="7164" width="13.5703125" style="29" customWidth="1"/>
    <col min="7165" max="7165" width="12" style="29" customWidth="1"/>
    <col min="7166" max="7166" width="16" style="29" customWidth="1"/>
    <col min="7167" max="7167" width="14.28515625" style="29" customWidth="1"/>
    <col min="7168" max="7410" width="12" style="29"/>
    <col min="7411" max="7411" width="18.7109375" style="29" customWidth="1"/>
    <col min="7412" max="7412" width="52" style="29" customWidth="1"/>
    <col min="7413" max="7415" width="0" style="29" hidden="1" customWidth="1"/>
    <col min="7416" max="7416" width="13" style="29" customWidth="1"/>
    <col min="7417" max="7419" width="12" style="29" customWidth="1"/>
    <col min="7420" max="7420" width="13.5703125" style="29" customWidth="1"/>
    <col min="7421" max="7421" width="12" style="29" customWidth="1"/>
    <col min="7422" max="7422" width="16" style="29" customWidth="1"/>
    <col min="7423" max="7423" width="14.28515625" style="29" customWidth="1"/>
    <col min="7424" max="7666" width="12" style="29"/>
    <col min="7667" max="7667" width="18.7109375" style="29" customWidth="1"/>
    <col min="7668" max="7668" width="52" style="29" customWidth="1"/>
    <col min="7669" max="7671" width="0" style="29" hidden="1" customWidth="1"/>
    <col min="7672" max="7672" width="13" style="29" customWidth="1"/>
    <col min="7673" max="7675" width="12" style="29" customWidth="1"/>
    <col min="7676" max="7676" width="13.5703125" style="29" customWidth="1"/>
    <col min="7677" max="7677" width="12" style="29" customWidth="1"/>
    <col min="7678" max="7678" width="16" style="29" customWidth="1"/>
    <col min="7679" max="7679" width="14.28515625" style="29" customWidth="1"/>
    <col min="7680" max="7922" width="12" style="29"/>
    <col min="7923" max="7923" width="18.7109375" style="29" customWidth="1"/>
    <col min="7924" max="7924" width="52" style="29" customWidth="1"/>
    <col min="7925" max="7927" width="0" style="29" hidden="1" customWidth="1"/>
    <col min="7928" max="7928" width="13" style="29" customWidth="1"/>
    <col min="7929" max="7931" width="12" style="29" customWidth="1"/>
    <col min="7932" max="7932" width="13.5703125" style="29" customWidth="1"/>
    <col min="7933" max="7933" width="12" style="29" customWidth="1"/>
    <col min="7934" max="7934" width="16" style="29" customWidth="1"/>
    <col min="7935" max="7935" width="14.28515625" style="29" customWidth="1"/>
    <col min="7936" max="8178" width="12" style="29"/>
    <col min="8179" max="8179" width="18.7109375" style="29" customWidth="1"/>
    <col min="8180" max="8180" width="52" style="29" customWidth="1"/>
    <col min="8181" max="8183" width="0" style="29" hidden="1" customWidth="1"/>
    <col min="8184" max="8184" width="13" style="29" customWidth="1"/>
    <col min="8185" max="8187" width="12" style="29" customWidth="1"/>
    <col min="8188" max="8188" width="13.5703125" style="29" customWidth="1"/>
    <col min="8189" max="8189" width="12" style="29" customWidth="1"/>
    <col min="8190" max="8190" width="16" style="29" customWidth="1"/>
    <col min="8191" max="8191" width="14.28515625" style="29" customWidth="1"/>
    <col min="8192" max="8434" width="12" style="29"/>
    <col min="8435" max="8435" width="18.7109375" style="29" customWidth="1"/>
    <col min="8436" max="8436" width="52" style="29" customWidth="1"/>
    <col min="8437" max="8439" width="0" style="29" hidden="1" customWidth="1"/>
    <col min="8440" max="8440" width="13" style="29" customWidth="1"/>
    <col min="8441" max="8443" width="12" style="29" customWidth="1"/>
    <col min="8444" max="8444" width="13.5703125" style="29" customWidth="1"/>
    <col min="8445" max="8445" width="12" style="29" customWidth="1"/>
    <col min="8446" max="8446" width="16" style="29" customWidth="1"/>
    <col min="8447" max="8447" width="14.28515625" style="29" customWidth="1"/>
    <col min="8448" max="8690" width="12" style="29"/>
    <col min="8691" max="8691" width="18.7109375" style="29" customWidth="1"/>
    <col min="8692" max="8692" width="52" style="29" customWidth="1"/>
    <col min="8693" max="8695" width="0" style="29" hidden="1" customWidth="1"/>
    <col min="8696" max="8696" width="13" style="29" customWidth="1"/>
    <col min="8697" max="8699" width="12" style="29" customWidth="1"/>
    <col min="8700" max="8700" width="13.5703125" style="29" customWidth="1"/>
    <col min="8701" max="8701" width="12" style="29" customWidth="1"/>
    <col min="8702" max="8702" width="16" style="29" customWidth="1"/>
    <col min="8703" max="8703" width="14.28515625" style="29" customWidth="1"/>
    <col min="8704" max="8946" width="12" style="29"/>
    <col min="8947" max="8947" width="18.7109375" style="29" customWidth="1"/>
    <col min="8948" max="8948" width="52" style="29" customWidth="1"/>
    <col min="8949" max="8951" width="0" style="29" hidden="1" customWidth="1"/>
    <col min="8952" max="8952" width="13" style="29" customWidth="1"/>
    <col min="8953" max="8955" width="12" style="29" customWidth="1"/>
    <col min="8956" max="8956" width="13.5703125" style="29" customWidth="1"/>
    <col min="8957" max="8957" width="12" style="29" customWidth="1"/>
    <col min="8958" max="8958" width="16" style="29" customWidth="1"/>
    <col min="8959" max="8959" width="14.28515625" style="29" customWidth="1"/>
    <col min="8960" max="9202" width="12" style="29"/>
    <col min="9203" max="9203" width="18.7109375" style="29" customWidth="1"/>
    <col min="9204" max="9204" width="52" style="29" customWidth="1"/>
    <col min="9205" max="9207" width="0" style="29" hidden="1" customWidth="1"/>
    <col min="9208" max="9208" width="13" style="29" customWidth="1"/>
    <col min="9209" max="9211" width="12" style="29" customWidth="1"/>
    <col min="9212" max="9212" width="13.5703125" style="29" customWidth="1"/>
    <col min="9213" max="9213" width="12" style="29" customWidth="1"/>
    <col min="9214" max="9214" width="16" style="29" customWidth="1"/>
    <col min="9215" max="9215" width="14.28515625" style="29" customWidth="1"/>
    <col min="9216" max="9458" width="12" style="29"/>
    <col min="9459" max="9459" width="18.7109375" style="29" customWidth="1"/>
    <col min="9460" max="9460" width="52" style="29" customWidth="1"/>
    <col min="9461" max="9463" width="0" style="29" hidden="1" customWidth="1"/>
    <col min="9464" max="9464" width="13" style="29" customWidth="1"/>
    <col min="9465" max="9467" width="12" style="29" customWidth="1"/>
    <col min="9468" max="9468" width="13.5703125" style="29" customWidth="1"/>
    <col min="9469" max="9469" width="12" style="29" customWidth="1"/>
    <col min="9470" max="9470" width="16" style="29" customWidth="1"/>
    <col min="9471" max="9471" width="14.28515625" style="29" customWidth="1"/>
    <col min="9472" max="9714" width="12" style="29"/>
    <col min="9715" max="9715" width="18.7109375" style="29" customWidth="1"/>
    <col min="9716" max="9716" width="52" style="29" customWidth="1"/>
    <col min="9717" max="9719" width="0" style="29" hidden="1" customWidth="1"/>
    <col min="9720" max="9720" width="13" style="29" customWidth="1"/>
    <col min="9721" max="9723" width="12" style="29" customWidth="1"/>
    <col min="9724" max="9724" width="13.5703125" style="29" customWidth="1"/>
    <col min="9725" max="9725" width="12" style="29" customWidth="1"/>
    <col min="9726" max="9726" width="16" style="29" customWidth="1"/>
    <col min="9727" max="9727" width="14.28515625" style="29" customWidth="1"/>
    <col min="9728" max="9970" width="12" style="29"/>
    <col min="9971" max="9971" width="18.7109375" style="29" customWidth="1"/>
    <col min="9972" max="9972" width="52" style="29" customWidth="1"/>
    <col min="9973" max="9975" width="0" style="29" hidden="1" customWidth="1"/>
    <col min="9976" max="9976" width="13" style="29" customWidth="1"/>
    <col min="9977" max="9979" width="12" style="29" customWidth="1"/>
    <col min="9980" max="9980" width="13.5703125" style="29" customWidth="1"/>
    <col min="9981" max="9981" width="12" style="29" customWidth="1"/>
    <col min="9982" max="9982" width="16" style="29" customWidth="1"/>
    <col min="9983" max="9983" width="14.28515625" style="29" customWidth="1"/>
    <col min="9984" max="10226" width="12" style="29"/>
    <col min="10227" max="10227" width="18.7109375" style="29" customWidth="1"/>
    <col min="10228" max="10228" width="52" style="29" customWidth="1"/>
    <col min="10229" max="10231" width="0" style="29" hidden="1" customWidth="1"/>
    <col min="10232" max="10232" width="13" style="29" customWidth="1"/>
    <col min="10233" max="10235" width="12" style="29" customWidth="1"/>
    <col min="10236" max="10236" width="13.5703125" style="29" customWidth="1"/>
    <col min="10237" max="10237" width="12" style="29" customWidth="1"/>
    <col min="10238" max="10238" width="16" style="29" customWidth="1"/>
    <col min="10239" max="10239" width="14.28515625" style="29" customWidth="1"/>
    <col min="10240" max="10482" width="12" style="29"/>
    <col min="10483" max="10483" width="18.7109375" style="29" customWidth="1"/>
    <col min="10484" max="10484" width="52" style="29" customWidth="1"/>
    <col min="10485" max="10487" width="0" style="29" hidden="1" customWidth="1"/>
    <col min="10488" max="10488" width="13" style="29" customWidth="1"/>
    <col min="10489" max="10491" width="12" style="29" customWidth="1"/>
    <col min="10492" max="10492" width="13.5703125" style="29" customWidth="1"/>
    <col min="10493" max="10493" width="12" style="29" customWidth="1"/>
    <col min="10494" max="10494" width="16" style="29" customWidth="1"/>
    <col min="10495" max="10495" width="14.28515625" style="29" customWidth="1"/>
    <col min="10496" max="10738" width="12" style="29"/>
    <col min="10739" max="10739" width="18.7109375" style="29" customWidth="1"/>
    <col min="10740" max="10740" width="52" style="29" customWidth="1"/>
    <col min="10741" max="10743" width="0" style="29" hidden="1" customWidth="1"/>
    <col min="10744" max="10744" width="13" style="29" customWidth="1"/>
    <col min="10745" max="10747" width="12" style="29" customWidth="1"/>
    <col min="10748" max="10748" width="13.5703125" style="29" customWidth="1"/>
    <col min="10749" max="10749" width="12" style="29" customWidth="1"/>
    <col min="10750" max="10750" width="16" style="29" customWidth="1"/>
    <col min="10751" max="10751" width="14.28515625" style="29" customWidth="1"/>
    <col min="10752" max="10994" width="12" style="29"/>
    <col min="10995" max="10995" width="18.7109375" style="29" customWidth="1"/>
    <col min="10996" max="10996" width="52" style="29" customWidth="1"/>
    <col min="10997" max="10999" width="0" style="29" hidden="1" customWidth="1"/>
    <col min="11000" max="11000" width="13" style="29" customWidth="1"/>
    <col min="11001" max="11003" width="12" style="29" customWidth="1"/>
    <col min="11004" max="11004" width="13.5703125" style="29" customWidth="1"/>
    <col min="11005" max="11005" width="12" style="29" customWidth="1"/>
    <col min="11006" max="11006" width="16" style="29" customWidth="1"/>
    <col min="11007" max="11007" width="14.28515625" style="29" customWidth="1"/>
    <col min="11008" max="11250" width="12" style="29"/>
    <col min="11251" max="11251" width="18.7109375" style="29" customWidth="1"/>
    <col min="11252" max="11252" width="52" style="29" customWidth="1"/>
    <col min="11253" max="11255" width="0" style="29" hidden="1" customWidth="1"/>
    <col min="11256" max="11256" width="13" style="29" customWidth="1"/>
    <col min="11257" max="11259" width="12" style="29" customWidth="1"/>
    <col min="11260" max="11260" width="13.5703125" style="29" customWidth="1"/>
    <col min="11261" max="11261" width="12" style="29" customWidth="1"/>
    <col min="11262" max="11262" width="16" style="29" customWidth="1"/>
    <col min="11263" max="11263" width="14.28515625" style="29" customWidth="1"/>
    <col min="11264" max="11506" width="12" style="29"/>
    <col min="11507" max="11507" width="18.7109375" style="29" customWidth="1"/>
    <col min="11508" max="11508" width="52" style="29" customWidth="1"/>
    <col min="11509" max="11511" width="0" style="29" hidden="1" customWidth="1"/>
    <col min="11512" max="11512" width="13" style="29" customWidth="1"/>
    <col min="11513" max="11515" width="12" style="29" customWidth="1"/>
    <col min="11516" max="11516" width="13.5703125" style="29" customWidth="1"/>
    <col min="11517" max="11517" width="12" style="29" customWidth="1"/>
    <col min="11518" max="11518" width="16" style="29" customWidth="1"/>
    <col min="11519" max="11519" width="14.28515625" style="29" customWidth="1"/>
    <col min="11520" max="11762" width="12" style="29"/>
    <col min="11763" max="11763" width="18.7109375" style="29" customWidth="1"/>
    <col min="11764" max="11764" width="52" style="29" customWidth="1"/>
    <col min="11765" max="11767" width="0" style="29" hidden="1" customWidth="1"/>
    <col min="11768" max="11768" width="13" style="29" customWidth="1"/>
    <col min="11769" max="11771" width="12" style="29" customWidth="1"/>
    <col min="11772" max="11772" width="13.5703125" style="29" customWidth="1"/>
    <col min="11773" max="11773" width="12" style="29" customWidth="1"/>
    <col min="11774" max="11774" width="16" style="29" customWidth="1"/>
    <col min="11775" max="11775" width="14.28515625" style="29" customWidth="1"/>
    <col min="11776" max="12018" width="12" style="29"/>
    <col min="12019" max="12019" width="18.7109375" style="29" customWidth="1"/>
    <col min="12020" max="12020" width="52" style="29" customWidth="1"/>
    <col min="12021" max="12023" width="0" style="29" hidden="1" customWidth="1"/>
    <col min="12024" max="12024" width="13" style="29" customWidth="1"/>
    <col min="12025" max="12027" width="12" style="29" customWidth="1"/>
    <col min="12028" max="12028" width="13.5703125" style="29" customWidth="1"/>
    <col min="12029" max="12029" width="12" style="29" customWidth="1"/>
    <col min="12030" max="12030" width="16" style="29" customWidth="1"/>
    <col min="12031" max="12031" width="14.28515625" style="29" customWidth="1"/>
    <col min="12032" max="12274" width="12" style="29"/>
    <col min="12275" max="12275" width="18.7109375" style="29" customWidth="1"/>
    <col min="12276" max="12276" width="52" style="29" customWidth="1"/>
    <col min="12277" max="12279" width="0" style="29" hidden="1" customWidth="1"/>
    <col min="12280" max="12280" width="13" style="29" customWidth="1"/>
    <col min="12281" max="12283" width="12" style="29" customWidth="1"/>
    <col min="12284" max="12284" width="13.5703125" style="29" customWidth="1"/>
    <col min="12285" max="12285" width="12" style="29" customWidth="1"/>
    <col min="12286" max="12286" width="16" style="29" customWidth="1"/>
    <col min="12287" max="12287" width="14.28515625" style="29" customWidth="1"/>
    <col min="12288" max="12530" width="12" style="29"/>
    <col min="12531" max="12531" width="18.7109375" style="29" customWidth="1"/>
    <col min="12532" max="12532" width="52" style="29" customWidth="1"/>
    <col min="12533" max="12535" width="0" style="29" hidden="1" customWidth="1"/>
    <col min="12536" max="12536" width="13" style="29" customWidth="1"/>
    <col min="12537" max="12539" width="12" style="29" customWidth="1"/>
    <col min="12540" max="12540" width="13.5703125" style="29" customWidth="1"/>
    <col min="12541" max="12541" width="12" style="29" customWidth="1"/>
    <col min="12542" max="12542" width="16" style="29" customWidth="1"/>
    <col min="12543" max="12543" width="14.28515625" style="29" customWidth="1"/>
    <col min="12544" max="12786" width="12" style="29"/>
    <col min="12787" max="12787" width="18.7109375" style="29" customWidth="1"/>
    <col min="12788" max="12788" width="52" style="29" customWidth="1"/>
    <col min="12789" max="12791" width="0" style="29" hidden="1" customWidth="1"/>
    <col min="12792" max="12792" width="13" style="29" customWidth="1"/>
    <col min="12793" max="12795" width="12" style="29" customWidth="1"/>
    <col min="12796" max="12796" width="13.5703125" style="29" customWidth="1"/>
    <col min="12797" max="12797" width="12" style="29" customWidth="1"/>
    <col min="12798" max="12798" width="16" style="29" customWidth="1"/>
    <col min="12799" max="12799" width="14.28515625" style="29" customWidth="1"/>
    <col min="12800" max="13042" width="12" style="29"/>
    <col min="13043" max="13043" width="18.7109375" style="29" customWidth="1"/>
    <col min="13044" max="13044" width="52" style="29" customWidth="1"/>
    <col min="13045" max="13047" width="0" style="29" hidden="1" customWidth="1"/>
    <col min="13048" max="13048" width="13" style="29" customWidth="1"/>
    <col min="13049" max="13051" width="12" style="29" customWidth="1"/>
    <col min="13052" max="13052" width="13.5703125" style="29" customWidth="1"/>
    <col min="13053" max="13053" width="12" style="29" customWidth="1"/>
    <col min="13054" max="13054" width="16" style="29" customWidth="1"/>
    <col min="13055" max="13055" width="14.28515625" style="29" customWidth="1"/>
    <col min="13056" max="13298" width="12" style="29"/>
    <col min="13299" max="13299" width="18.7109375" style="29" customWidth="1"/>
    <col min="13300" max="13300" width="52" style="29" customWidth="1"/>
    <col min="13301" max="13303" width="0" style="29" hidden="1" customWidth="1"/>
    <col min="13304" max="13304" width="13" style="29" customWidth="1"/>
    <col min="13305" max="13307" width="12" style="29" customWidth="1"/>
    <col min="13308" max="13308" width="13.5703125" style="29" customWidth="1"/>
    <col min="13309" max="13309" width="12" style="29" customWidth="1"/>
    <col min="13310" max="13310" width="16" style="29" customWidth="1"/>
    <col min="13311" max="13311" width="14.28515625" style="29" customWidth="1"/>
    <col min="13312" max="13554" width="12" style="29"/>
    <col min="13555" max="13555" width="18.7109375" style="29" customWidth="1"/>
    <col min="13556" max="13556" width="52" style="29" customWidth="1"/>
    <col min="13557" max="13559" width="0" style="29" hidden="1" customWidth="1"/>
    <col min="13560" max="13560" width="13" style="29" customWidth="1"/>
    <col min="13561" max="13563" width="12" style="29" customWidth="1"/>
    <col min="13564" max="13564" width="13.5703125" style="29" customWidth="1"/>
    <col min="13565" max="13565" width="12" style="29" customWidth="1"/>
    <col min="13566" max="13566" width="16" style="29" customWidth="1"/>
    <col min="13567" max="13567" width="14.28515625" style="29" customWidth="1"/>
    <col min="13568" max="13810" width="12" style="29"/>
    <col min="13811" max="13811" width="18.7109375" style="29" customWidth="1"/>
    <col min="13812" max="13812" width="52" style="29" customWidth="1"/>
    <col min="13813" max="13815" width="0" style="29" hidden="1" customWidth="1"/>
    <col min="13816" max="13816" width="13" style="29" customWidth="1"/>
    <col min="13817" max="13819" width="12" style="29" customWidth="1"/>
    <col min="13820" max="13820" width="13.5703125" style="29" customWidth="1"/>
    <col min="13821" max="13821" width="12" style="29" customWidth="1"/>
    <col min="13822" max="13822" width="16" style="29" customWidth="1"/>
    <col min="13823" max="13823" width="14.28515625" style="29" customWidth="1"/>
    <col min="13824" max="14066" width="12" style="29"/>
    <col min="14067" max="14067" width="18.7109375" style="29" customWidth="1"/>
    <col min="14068" max="14068" width="52" style="29" customWidth="1"/>
    <col min="14069" max="14071" width="0" style="29" hidden="1" customWidth="1"/>
    <col min="14072" max="14072" width="13" style="29" customWidth="1"/>
    <col min="14073" max="14075" width="12" style="29" customWidth="1"/>
    <col min="14076" max="14076" width="13.5703125" style="29" customWidth="1"/>
    <col min="14077" max="14077" width="12" style="29" customWidth="1"/>
    <col min="14078" max="14078" width="16" style="29" customWidth="1"/>
    <col min="14079" max="14079" width="14.28515625" style="29" customWidth="1"/>
    <col min="14080" max="14322" width="12" style="29"/>
    <col min="14323" max="14323" width="18.7109375" style="29" customWidth="1"/>
    <col min="14324" max="14324" width="52" style="29" customWidth="1"/>
    <col min="14325" max="14327" width="0" style="29" hidden="1" customWidth="1"/>
    <col min="14328" max="14328" width="13" style="29" customWidth="1"/>
    <col min="14329" max="14331" width="12" style="29" customWidth="1"/>
    <col min="14332" max="14332" width="13.5703125" style="29" customWidth="1"/>
    <col min="14333" max="14333" width="12" style="29" customWidth="1"/>
    <col min="14334" max="14334" width="16" style="29" customWidth="1"/>
    <col min="14335" max="14335" width="14.28515625" style="29" customWidth="1"/>
    <col min="14336" max="14578" width="12" style="29"/>
    <col min="14579" max="14579" width="18.7109375" style="29" customWidth="1"/>
    <col min="14580" max="14580" width="52" style="29" customWidth="1"/>
    <col min="14581" max="14583" width="0" style="29" hidden="1" customWidth="1"/>
    <col min="14584" max="14584" width="13" style="29" customWidth="1"/>
    <col min="14585" max="14587" width="12" style="29" customWidth="1"/>
    <col min="14588" max="14588" width="13.5703125" style="29" customWidth="1"/>
    <col min="14589" max="14589" width="12" style="29" customWidth="1"/>
    <col min="14590" max="14590" width="16" style="29" customWidth="1"/>
    <col min="14591" max="14591" width="14.28515625" style="29" customWidth="1"/>
    <col min="14592" max="14834" width="12" style="29"/>
    <col min="14835" max="14835" width="18.7109375" style="29" customWidth="1"/>
    <col min="14836" max="14836" width="52" style="29" customWidth="1"/>
    <col min="14837" max="14839" width="0" style="29" hidden="1" customWidth="1"/>
    <col min="14840" max="14840" width="13" style="29" customWidth="1"/>
    <col min="14841" max="14843" width="12" style="29" customWidth="1"/>
    <col min="14844" max="14844" width="13.5703125" style="29" customWidth="1"/>
    <col min="14845" max="14845" width="12" style="29" customWidth="1"/>
    <col min="14846" max="14846" width="16" style="29" customWidth="1"/>
    <col min="14847" max="14847" width="14.28515625" style="29" customWidth="1"/>
    <col min="14848" max="15090" width="12" style="29"/>
    <col min="15091" max="15091" width="18.7109375" style="29" customWidth="1"/>
    <col min="15092" max="15092" width="52" style="29" customWidth="1"/>
    <col min="15093" max="15095" width="0" style="29" hidden="1" customWidth="1"/>
    <col min="15096" max="15096" width="13" style="29" customWidth="1"/>
    <col min="15097" max="15099" width="12" style="29" customWidth="1"/>
    <col min="15100" max="15100" width="13.5703125" style="29" customWidth="1"/>
    <col min="15101" max="15101" width="12" style="29" customWidth="1"/>
    <col min="15102" max="15102" width="16" style="29" customWidth="1"/>
    <col min="15103" max="15103" width="14.28515625" style="29" customWidth="1"/>
    <col min="15104" max="15346" width="12" style="29"/>
    <col min="15347" max="15347" width="18.7109375" style="29" customWidth="1"/>
    <col min="15348" max="15348" width="52" style="29" customWidth="1"/>
    <col min="15349" max="15351" width="0" style="29" hidden="1" customWidth="1"/>
    <col min="15352" max="15352" width="13" style="29" customWidth="1"/>
    <col min="15353" max="15355" width="12" style="29" customWidth="1"/>
    <col min="15356" max="15356" width="13.5703125" style="29" customWidth="1"/>
    <col min="15357" max="15357" width="12" style="29" customWidth="1"/>
    <col min="15358" max="15358" width="16" style="29" customWidth="1"/>
    <col min="15359" max="15359" width="14.28515625" style="29" customWidth="1"/>
    <col min="15360" max="15602" width="12" style="29"/>
    <col min="15603" max="15603" width="18.7109375" style="29" customWidth="1"/>
    <col min="15604" max="15604" width="52" style="29" customWidth="1"/>
    <col min="15605" max="15607" width="0" style="29" hidden="1" customWidth="1"/>
    <col min="15608" max="15608" width="13" style="29" customWidth="1"/>
    <col min="15609" max="15611" width="12" style="29" customWidth="1"/>
    <col min="15612" max="15612" width="13.5703125" style="29" customWidth="1"/>
    <col min="15613" max="15613" width="12" style="29" customWidth="1"/>
    <col min="15614" max="15614" width="16" style="29" customWidth="1"/>
    <col min="15615" max="15615" width="14.28515625" style="29" customWidth="1"/>
    <col min="15616" max="15858" width="12" style="29"/>
    <col min="15859" max="15859" width="18.7109375" style="29" customWidth="1"/>
    <col min="15860" max="15860" width="52" style="29" customWidth="1"/>
    <col min="15861" max="15863" width="0" style="29" hidden="1" customWidth="1"/>
    <col min="15864" max="15864" width="13" style="29" customWidth="1"/>
    <col min="15865" max="15867" width="12" style="29" customWidth="1"/>
    <col min="15868" max="15868" width="13.5703125" style="29" customWidth="1"/>
    <col min="15869" max="15869" width="12" style="29" customWidth="1"/>
    <col min="15870" max="15870" width="16" style="29" customWidth="1"/>
    <col min="15871" max="15871" width="14.28515625" style="29" customWidth="1"/>
    <col min="15872" max="16114" width="12" style="29"/>
    <col min="16115" max="16115" width="18.7109375" style="29" customWidth="1"/>
    <col min="16116" max="16116" width="52" style="29" customWidth="1"/>
    <col min="16117" max="16119" width="0" style="29" hidden="1" customWidth="1"/>
    <col min="16120" max="16120" width="13" style="29" customWidth="1"/>
    <col min="16121" max="16123" width="12" style="29" customWidth="1"/>
    <col min="16124" max="16124" width="13.5703125" style="29" customWidth="1"/>
    <col min="16125" max="16125" width="12" style="29" customWidth="1"/>
    <col min="16126" max="16126" width="16" style="29" customWidth="1"/>
    <col min="16127" max="16127" width="14.28515625" style="29" customWidth="1"/>
    <col min="16128" max="16384" width="12" style="29"/>
  </cols>
  <sheetData>
    <row r="1" spans="1:4" s="28" customFormat="1" ht="12.75" customHeight="1">
      <c r="A1" s="260" t="s">
        <v>532</v>
      </c>
      <c r="B1" s="261"/>
      <c r="C1" s="261"/>
    </row>
    <row r="2" spans="1:4" s="28" customFormat="1" ht="13.5" customHeight="1">
      <c r="A2" s="262" t="s">
        <v>278</v>
      </c>
      <c r="B2" s="263"/>
      <c r="C2" s="263"/>
    </row>
    <row r="3" spans="1:4" s="28" customFormat="1" ht="11.25" customHeight="1">
      <c r="A3" s="25"/>
      <c r="B3" s="25"/>
      <c r="C3" s="25"/>
    </row>
    <row r="4" spans="1:4" s="30" customFormat="1" ht="12" customHeight="1">
      <c r="A4" s="151" t="s">
        <v>530</v>
      </c>
      <c r="B4" s="137" t="s">
        <v>555</v>
      </c>
      <c r="C4" s="25"/>
      <c r="D4" s="31"/>
    </row>
    <row r="5" spans="1:4" s="28" customFormat="1" ht="12" customHeight="1">
      <c r="A5" s="25"/>
      <c r="B5" s="160"/>
      <c r="C5" s="25"/>
      <c r="D5" s="32"/>
    </row>
    <row r="6" spans="1:4" s="28" customFormat="1" ht="12" customHeight="1">
      <c r="A6" s="151" t="s">
        <v>531</v>
      </c>
      <c r="B6" s="137" t="s">
        <v>556</v>
      </c>
      <c r="C6" s="25"/>
      <c r="D6" s="32"/>
    </row>
    <row r="7" spans="1:4" s="28" customFormat="1" ht="12" customHeight="1">
      <c r="A7" s="25"/>
      <c r="B7" s="160"/>
      <c r="C7" s="25"/>
      <c r="D7" s="32"/>
    </row>
    <row r="8" spans="1:4" s="28" customFormat="1" ht="12" customHeight="1">
      <c r="A8" s="25" t="s">
        <v>279</v>
      </c>
      <c r="B8" s="137">
        <v>219741797</v>
      </c>
      <c r="C8" s="25"/>
      <c r="D8" s="32"/>
    </row>
    <row r="9" spans="1:4" s="28" customFormat="1" ht="12" customHeight="1">
      <c r="A9" s="25"/>
      <c r="B9" s="160"/>
      <c r="C9" s="25"/>
      <c r="D9" s="32"/>
    </row>
    <row r="10" spans="1:4" s="28" customFormat="1" ht="12" customHeight="1">
      <c r="A10" s="25" t="s">
        <v>280</v>
      </c>
      <c r="B10" s="137">
        <v>2012</v>
      </c>
      <c r="C10" s="25"/>
      <c r="D10" s="32"/>
    </row>
    <row r="11" spans="1:4" s="28" customFormat="1" ht="12" customHeight="1">
      <c r="A11" s="25"/>
      <c r="B11" s="160"/>
      <c r="C11" s="25"/>
      <c r="D11" s="32"/>
    </row>
    <row r="12" spans="1:4" s="28" customFormat="1" ht="12" customHeight="1">
      <c r="A12" s="25" t="s">
        <v>281</v>
      </c>
      <c r="B12" s="137">
        <v>6</v>
      </c>
      <c r="C12" s="25"/>
      <c r="D12" s="32"/>
    </row>
    <row r="13" spans="1:4" s="28" customFormat="1" ht="12" customHeight="1">
      <c r="A13" s="25"/>
      <c r="B13" s="160"/>
      <c r="C13" s="25"/>
      <c r="D13" s="32"/>
    </row>
    <row r="14" spans="1:4" s="30" customFormat="1" ht="12" customHeight="1">
      <c r="A14" s="25" t="s">
        <v>282</v>
      </c>
      <c r="B14" s="137" t="s">
        <v>557</v>
      </c>
      <c r="C14" s="25"/>
      <c r="D14" s="31"/>
    </row>
    <row r="15" spans="1:4">
      <c r="A15" s="25"/>
      <c r="B15" s="25"/>
      <c r="C15" s="25"/>
    </row>
    <row r="16" spans="1:4">
      <c r="A16" s="25"/>
      <c r="B16" s="25"/>
      <c r="C16" s="25"/>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N65"/>
  <sheetViews>
    <sheetView workbookViewId="0">
      <selection activeCell="D15" sqref="D15"/>
    </sheetView>
  </sheetViews>
  <sheetFormatPr baseColWidth="10" defaultRowHeight="12.75"/>
  <cols>
    <col min="1" max="1" width="43.7109375" style="100" customWidth="1"/>
    <col min="2" max="2" width="12.85546875" style="100" customWidth="1"/>
    <col min="3" max="7" width="10.7109375" style="100" customWidth="1"/>
    <col min="8" max="9" width="11.28515625" style="101" bestFit="1" customWidth="1"/>
    <col min="10" max="13" width="10.5703125" style="101" bestFit="1" customWidth="1"/>
    <col min="14" max="18" width="9.5703125" style="101" bestFit="1" customWidth="1"/>
    <col min="19" max="234" width="11.42578125" style="101"/>
    <col min="235" max="235" width="46.140625" style="101" customWidth="1"/>
    <col min="236" max="236" width="11.42578125" style="101" customWidth="1"/>
    <col min="237" max="240" width="9.5703125" style="101" customWidth="1"/>
    <col min="241" max="245" width="9.28515625" style="101" customWidth="1"/>
    <col min="246" max="248" width="9.140625" style="101" customWidth="1"/>
    <col min="249" max="16384" width="11.42578125" style="139"/>
  </cols>
  <sheetData>
    <row r="1" spans="1:248">
      <c r="A1" s="98" t="s">
        <v>283</v>
      </c>
      <c r="B1" s="99"/>
      <c r="F1" s="123" t="s">
        <v>284</v>
      </c>
      <c r="G1" s="123" t="s">
        <v>285</v>
      </c>
      <c r="H1" s="123" t="s">
        <v>286</v>
      </c>
      <c r="I1" s="127" t="s">
        <v>334</v>
      </c>
      <c r="J1" s="138"/>
      <c r="N1" s="100"/>
      <c r="O1" s="100"/>
      <c r="P1" s="100"/>
      <c r="Q1" s="100"/>
      <c r="R1" s="100"/>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row>
    <row r="2" spans="1:248">
      <c r="A2" s="100" t="s">
        <v>287</v>
      </c>
      <c r="B2" s="103"/>
      <c r="C2" s="102"/>
      <c r="D2" s="104"/>
      <c r="E2" s="102"/>
      <c r="F2" s="105">
        <v>0.88257512858251608</v>
      </c>
      <c r="G2" s="105">
        <v>0.95026864094479502</v>
      </c>
      <c r="H2" s="105">
        <v>0.96927401376369093</v>
      </c>
      <c r="I2" s="105">
        <v>1</v>
      </c>
      <c r="J2" s="140"/>
      <c r="L2" s="195"/>
      <c r="N2" s="100"/>
      <c r="O2" s="100"/>
      <c r="P2" s="100"/>
      <c r="Q2" s="100"/>
      <c r="R2" s="100"/>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row>
    <row r="3" spans="1:248">
      <c r="A3" s="98" t="str">
        <f>+'Datos '!B4</f>
        <v>HUILA</v>
      </c>
      <c r="B3" s="103"/>
      <c r="C3" s="104"/>
      <c r="D3" s="104"/>
      <c r="E3" s="104"/>
      <c r="F3" s="104"/>
      <c r="G3" s="104"/>
      <c r="H3" s="106"/>
      <c r="I3" s="106"/>
      <c r="J3" s="100"/>
      <c r="K3" s="100"/>
      <c r="L3" s="196"/>
      <c r="M3" s="100"/>
      <c r="N3" s="100"/>
      <c r="O3" s="100"/>
      <c r="P3" s="100"/>
      <c r="Q3" s="100"/>
      <c r="R3" s="100"/>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row>
    <row r="4" spans="1:248">
      <c r="B4" s="98" t="s">
        <v>288</v>
      </c>
      <c r="D4" s="107"/>
      <c r="E4" s="107"/>
      <c r="F4" s="98" t="s">
        <v>289</v>
      </c>
      <c r="G4" s="107"/>
      <c r="I4" s="161"/>
      <c r="J4" s="98" t="s">
        <v>290</v>
      </c>
      <c r="K4" s="100"/>
      <c r="L4" s="100"/>
      <c r="M4" s="100"/>
      <c r="N4" s="141" t="s">
        <v>291</v>
      </c>
      <c r="O4" s="100"/>
      <c r="P4" s="100"/>
      <c r="Q4" s="100"/>
      <c r="R4" s="100"/>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row>
    <row r="5" spans="1:248" ht="16.5">
      <c r="A5" s="170" t="s">
        <v>292</v>
      </c>
      <c r="B5" s="178" t="s">
        <v>284</v>
      </c>
      <c r="C5" s="179" t="s">
        <v>285</v>
      </c>
      <c r="D5" s="179" t="s">
        <v>286</v>
      </c>
      <c r="E5" s="179" t="s">
        <v>334</v>
      </c>
      <c r="F5" s="180" t="s">
        <v>293</v>
      </c>
      <c r="G5" s="180" t="s">
        <v>294</v>
      </c>
      <c r="H5" s="180" t="s">
        <v>295</v>
      </c>
      <c r="I5" s="181" t="s">
        <v>335</v>
      </c>
      <c r="J5" s="184" t="s">
        <v>296</v>
      </c>
      <c r="K5" s="180" t="s">
        <v>297</v>
      </c>
      <c r="L5" s="180" t="s">
        <v>336</v>
      </c>
      <c r="M5" s="181" t="s">
        <v>298</v>
      </c>
      <c r="N5" s="184" t="s">
        <v>293</v>
      </c>
      <c r="O5" s="180" t="s">
        <v>294</v>
      </c>
      <c r="P5" s="180" t="s">
        <v>295</v>
      </c>
      <c r="Q5" s="180" t="s">
        <v>335</v>
      </c>
      <c r="R5" s="181" t="s">
        <v>298</v>
      </c>
      <c r="S5" s="142"/>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row>
    <row r="6" spans="1:248">
      <c r="A6" s="171" t="s">
        <v>486</v>
      </c>
      <c r="B6" s="165">
        <f>+B7</f>
        <v>0</v>
      </c>
      <c r="C6" s="165">
        <f t="shared" ref="C6:D6" si="0">+C7</f>
        <v>0</v>
      </c>
      <c r="D6" s="165">
        <f t="shared" si="0"/>
        <v>0</v>
      </c>
      <c r="E6" s="155"/>
      <c r="F6" s="216">
        <f t="shared" ref="F6:I6" si="1">+B6/F$2</f>
        <v>0</v>
      </c>
      <c r="G6" s="216">
        <f t="shared" si="1"/>
        <v>0</v>
      </c>
      <c r="H6" s="216">
        <f t="shared" si="1"/>
        <v>0</v>
      </c>
      <c r="I6" s="217">
        <f t="shared" si="1"/>
        <v>0</v>
      </c>
      <c r="J6" s="218">
        <f>IF(ISERROR(G6/F6),0,(G6/F6-1)*100)</f>
        <v>0</v>
      </c>
      <c r="K6" s="219">
        <f>IF(ISERROR(H6/G6),0,(H6/G6-1)*100)</f>
        <v>0</v>
      </c>
      <c r="L6" s="219">
        <f>IF(ISERROR(I6/H6),0,(I6/H6-1)*100)</f>
        <v>0</v>
      </c>
      <c r="M6" s="220">
        <f>AVERAGE(J6:L6)</f>
        <v>0</v>
      </c>
      <c r="N6" s="218">
        <f t="shared" ref="N6:Q6" si="2">IFERROR((B6/B$6*100),0)</f>
        <v>0</v>
      </c>
      <c r="O6" s="219">
        <f t="shared" si="2"/>
        <v>0</v>
      </c>
      <c r="P6" s="219">
        <f t="shared" si="2"/>
        <v>0</v>
      </c>
      <c r="Q6" s="219">
        <f t="shared" si="2"/>
        <v>0</v>
      </c>
      <c r="R6" s="220">
        <f>IFERROR(AVERAGE(N6:Q6),0)</f>
        <v>0</v>
      </c>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row>
    <row r="7" spans="1:248">
      <c r="A7" s="172" t="s">
        <v>487</v>
      </c>
      <c r="B7" s="166"/>
      <c r="C7" s="166"/>
      <c r="D7" s="166"/>
      <c r="E7" s="166"/>
      <c r="F7" s="221">
        <f t="shared" ref="F7:F49" si="3">+B7/F$2</f>
        <v>0</v>
      </c>
      <c r="G7" s="221">
        <f t="shared" ref="G7:G49" si="4">+C7/G$2</f>
        <v>0</v>
      </c>
      <c r="H7" s="221">
        <f t="shared" ref="H7:H49" si="5">+D7/H$2</f>
        <v>0</v>
      </c>
      <c r="I7" s="222">
        <f t="shared" ref="I7:I49" si="6">+E7/I$2</f>
        <v>0</v>
      </c>
      <c r="J7" s="223">
        <f t="shared" ref="J7:J49" si="7">IF(ISERROR(G7/F7),0,(G7/F7-1)*100)</f>
        <v>0</v>
      </c>
      <c r="K7" s="224">
        <f t="shared" ref="K7:K49" si="8">IF(ISERROR(H7/G7),0,(H7/G7-1)*100)</f>
        <v>0</v>
      </c>
      <c r="L7" s="224">
        <f t="shared" ref="L7:L49" si="9">IF(ISERROR(I7/H7),0,(I7/H7-1)*100)</f>
        <v>0</v>
      </c>
      <c r="M7" s="225">
        <f t="shared" ref="M7:M49" si="10">AVERAGE(J7:L7)</f>
        <v>0</v>
      </c>
      <c r="N7" s="223">
        <f t="shared" ref="N7:N19" si="11">IFERROR((B7/B$6*100),0)</f>
        <v>0</v>
      </c>
      <c r="O7" s="224">
        <f t="shared" ref="O7:O19" si="12">IFERROR((C7/C$6*100),0)</f>
        <v>0</v>
      </c>
      <c r="P7" s="224">
        <f t="shared" ref="P7:P19" si="13">IFERROR((D7/D$6*100),0)</f>
        <v>0</v>
      </c>
      <c r="Q7" s="224">
        <f t="shared" ref="Q7:Q19" si="14">IFERROR((E7/E$6*100),0)</f>
        <v>0</v>
      </c>
      <c r="R7" s="225">
        <f t="shared" ref="R7" si="15">IFERROR(AVERAGE(N7:Q7),0)</f>
        <v>0</v>
      </c>
      <c r="S7" s="110"/>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row>
    <row r="8" spans="1:248">
      <c r="A8" s="172" t="s">
        <v>488</v>
      </c>
      <c r="B8" s="166"/>
      <c r="C8" s="166"/>
      <c r="D8" s="166"/>
      <c r="E8" s="166"/>
      <c r="F8" s="221">
        <f t="shared" si="3"/>
        <v>0</v>
      </c>
      <c r="G8" s="221">
        <f t="shared" si="4"/>
        <v>0</v>
      </c>
      <c r="H8" s="221">
        <f t="shared" si="5"/>
        <v>0</v>
      </c>
      <c r="I8" s="222">
        <f t="shared" si="6"/>
        <v>0</v>
      </c>
      <c r="J8" s="223">
        <f t="shared" si="7"/>
        <v>0</v>
      </c>
      <c r="K8" s="224">
        <f t="shared" si="8"/>
        <v>0</v>
      </c>
      <c r="L8" s="224">
        <f t="shared" si="9"/>
        <v>0</v>
      </c>
      <c r="M8" s="225">
        <f t="shared" si="10"/>
        <v>0</v>
      </c>
      <c r="N8" s="223">
        <f t="shared" si="11"/>
        <v>0</v>
      </c>
      <c r="O8" s="224">
        <f t="shared" si="12"/>
        <v>0</v>
      </c>
      <c r="P8" s="224">
        <f t="shared" si="13"/>
        <v>0</v>
      </c>
      <c r="Q8" s="224">
        <f t="shared" si="14"/>
        <v>0</v>
      </c>
      <c r="R8" s="225">
        <f t="shared" ref="R8:R49" si="16">IF(ISERROR(M8/L8),0,(M8/L8-1)*100)</f>
        <v>0</v>
      </c>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row>
    <row r="9" spans="1:248" ht="13.5">
      <c r="A9" s="173" t="s">
        <v>489</v>
      </c>
      <c r="B9" s="167"/>
      <c r="C9" s="144"/>
      <c r="D9" s="144"/>
      <c r="E9" s="144"/>
      <c r="F9" s="226">
        <f t="shared" si="3"/>
        <v>0</v>
      </c>
      <c r="G9" s="226">
        <f t="shared" si="4"/>
        <v>0</v>
      </c>
      <c r="H9" s="227">
        <f t="shared" si="5"/>
        <v>0</v>
      </c>
      <c r="I9" s="228">
        <f t="shared" si="6"/>
        <v>0</v>
      </c>
      <c r="J9" s="229">
        <f t="shared" si="7"/>
        <v>0</v>
      </c>
      <c r="K9" s="230">
        <f t="shared" si="8"/>
        <v>0</v>
      </c>
      <c r="L9" s="230">
        <f t="shared" si="9"/>
        <v>0</v>
      </c>
      <c r="M9" s="230">
        <f t="shared" si="10"/>
        <v>0</v>
      </c>
      <c r="N9" s="229">
        <f t="shared" si="11"/>
        <v>0</v>
      </c>
      <c r="O9" s="230">
        <f t="shared" si="12"/>
        <v>0</v>
      </c>
      <c r="P9" s="230">
        <f t="shared" si="13"/>
        <v>0</v>
      </c>
      <c r="Q9" s="230">
        <f t="shared" si="14"/>
        <v>0</v>
      </c>
      <c r="R9" s="230">
        <f t="shared" si="16"/>
        <v>0</v>
      </c>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row>
    <row r="10" spans="1:248" ht="13.5">
      <c r="A10" s="173" t="s">
        <v>490</v>
      </c>
      <c r="B10" s="167"/>
      <c r="C10" s="144"/>
      <c r="D10" s="144"/>
      <c r="E10" s="144"/>
      <c r="F10" s="226">
        <f t="shared" si="3"/>
        <v>0</v>
      </c>
      <c r="G10" s="226">
        <f t="shared" si="4"/>
        <v>0</v>
      </c>
      <c r="H10" s="227">
        <f t="shared" si="5"/>
        <v>0</v>
      </c>
      <c r="I10" s="228">
        <f t="shared" si="6"/>
        <v>0</v>
      </c>
      <c r="J10" s="229">
        <f t="shared" si="7"/>
        <v>0</v>
      </c>
      <c r="K10" s="230">
        <f t="shared" si="8"/>
        <v>0</v>
      </c>
      <c r="L10" s="230">
        <f t="shared" si="9"/>
        <v>0</v>
      </c>
      <c r="M10" s="230">
        <f t="shared" si="10"/>
        <v>0</v>
      </c>
      <c r="N10" s="229">
        <f t="shared" si="11"/>
        <v>0</v>
      </c>
      <c r="O10" s="230">
        <f t="shared" si="12"/>
        <v>0</v>
      </c>
      <c r="P10" s="230">
        <f t="shared" si="13"/>
        <v>0</v>
      </c>
      <c r="Q10" s="230">
        <f t="shared" si="14"/>
        <v>0</v>
      </c>
      <c r="R10" s="230">
        <f t="shared" si="16"/>
        <v>0</v>
      </c>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row>
    <row r="11" spans="1:248" ht="13.5">
      <c r="A11" s="173" t="s">
        <v>491</v>
      </c>
      <c r="B11" s="167"/>
      <c r="C11" s="144"/>
      <c r="D11" s="144"/>
      <c r="E11" s="144"/>
      <c r="F11" s="226">
        <f t="shared" si="3"/>
        <v>0</v>
      </c>
      <c r="G11" s="226">
        <f t="shared" si="4"/>
        <v>0</v>
      </c>
      <c r="H11" s="227">
        <f t="shared" si="5"/>
        <v>0</v>
      </c>
      <c r="I11" s="228">
        <f t="shared" si="6"/>
        <v>0</v>
      </c>
      <c r="J11" s="229">
        <f t="shared" si="7"/>
        <v>0</v>
      </c>
      <c r="K11" s="230">
        <f t="shared" si="8"/>
        <v>0</v>
      </c>
      <c r="L11" s="230">
        <f t="shared" si="9"/>
        <v>0</v>
      </c>
      <c r="M11" s="230">
        <f t="shared" si="10"/>
        <v>0</v>
      </c>
      <c r="N11" s="229">
        <f t="shared" si="11"/>
        <v>0</v>
      </c>
      <c r="O11" s="230">
        <f t="shared" si="12"/>
        <v>0</v>
      </c>
      <c r="P11" s="230">
        <f t="shared" si="13"/>
        <v>0</v>
      </c>
      <c r="Q11" s="230">
        <f t="shared" si="14"/>
        <v>0</v>
      </c>
      <c r="R11" s="230">
        <f t="shared" si="16"/>
        <v>0</v>
      </c>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row>
    <row r="12" spans="1:248" ht="13.5">
      <c r="A12" s="173" t="s">
        <v>492</v>
      </c>
      <c r="B12" s="167"/>
      <c r="C12" s="144"/>
      <c r="D12" s="144"/>
      <c r="E12" s="144"/>
      <c r="F12" s="226">
        <f t="shared" si="3"/>
        <v>0</v>
      </c>
      <c r="G12" s="226">
        <f t="shared" si="4"/>
        <v>0</v>
      </c>
      <c r="H12" s="227">
        <f t="shared" si="5"/>
        <v>0</v>
      </c>
      <c r="I12" s="228">
        <f t="shared" si="6"/>
        <v>0</v>
      </c>
      <c r="J12" s="229">
        <f t="shared" si="7"/>
        <v>0</v>
      </c>
      <c r="K12" s="230">
        <f t="shared" si="8"/>
        <v>0</v>
      </c>
      <c r="L12" s="230">
        <f t="shared" si="9"/>
        <v>0</v>
      </c>
      <c r="M12" s="230">
        <f t="shared" si="10"/>
        <v>0</v>
      </c>
      <c r="N12" s="229">
        <f t="shared" si="11"/>
        <v>0</v>
      </c>
      <c r="O12" s="230">
        <f t="shared" si="12"/>
        <v>0</v>
      </c>
      <c r="P12" s="230">
        <f t="shared" si="13"/>
        <v>0</v>
      </c>
      <c r="Q12" s="230">
        <f t="shared" si="14"/>
        <v>0</v>
      </c>
      <c r="R12" s="230">
        <f t="shared" si="16"/>
        <v>0</v>
      </c>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row>
    <row r="13" spans="1:248" ht="13.5">
      <c r="A13" s="174" t="s">
        <v>493</v>
      </c>
      <c r="B13" s="167"/>
      <c r="C13" s="144"/>
      <c r="D13" s="144"/>
      <c r="E13" s="144"/>
      <c r="F13" s="226">
        <f t="shared" si="3"/>
        <v>0</v>
      </c>
      <c r="G13" s="226">
        <f t="shared" si="4"/>
        <v>0</v>
      </c>
      <c r="H13" s="227">
        <f t="shared" si="5"/>
        <v>0</v>
      </c>
      <c r="I13" s="228">
        <f t="shared" si="6"/>
        <v>0</v>
      </c>
      <c r="J13" s="229">
        <f t="shared" si="7"/>
        <v>0</v>
      </c>
      <c r="K13" s="230">
        <f t="shared" si="8"/>
        <v>0</v>
      </c>
      <c r="L13" s="230">
        <f t="shared" si="9"/>
        <v>0</v>
      </c>
      <c r="M13" s="230">
        <f t="shared" si="10"/>
        <v>0</v>
      </c>
      <c r="N13" s="229">
        <f t="shared" si="11"/>
        <v>0</v>
      </c>
      <c r="O13" s="230">
        <f t="shared" si="12"/>
        <v>0</v>
      </c>
      <c r="P13" s="230">
        <f t="shared" si="13"/>
        <v>0</v>
      </c>
      <c r="Q13" s="230">
        <f t="shared" si="14"/>
        <v>0</v>
      </c>
      <c r="R13" s="230">
        <f t="shared" si="16"/>
        <v>0</v>
      </c>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row>
    <row r="14" spans="1:248" ht="13.5">
      <c r="A14" s="173" t="s">
        <v>494</v>
      </c>
      <c r="B14" s="167"/>
      <c r="C14" s="144"/>
      <c r="D14" s="144"/>
      <c r="E14" s="144"/>
      <c r="F14" s="226">
        <f t="shared" si="3"/>
        <v>0</v>
      </c>
      <c r="G14" s="226">
        <f t="shared" si="4"/>
        <v>0</v>
      </c>
      <c r="H14" s="227">
        <f t="shared" si="5"/>
        <v>0</v>
      </c>
      <c r="I14" s="228">
        <f t="shared" si="6"/>
        <v>0</v>
      </c>
      <c r="J14" s="229">
        <f t="shared" si="7"/>
        <v>0</v>
      </c>
      <c r="K14" s="230">
        <f t="shared" si="8"/>
        <v>0</v>
      </c>
      <c r="L14" s="230">
        <f t="shared" si="9"/>
        <v>0</v>
      </c>
      <c r="M14" s="230">
        <f t="shared" si="10"/>
        <v>0</v>
      </c>
      <c r="N14" s="229">
        <f t="shared" si="11"/>
        <v>0</v>
      </c>
      <c r="O14" s="230">
        <f t="shared" si="12"/>
        <v>0</v>
      </c>
      <c r="P14" s="230">
        <f t="shared" si="13"/>
        <v>0</v>
      </c>
      <c r="Q14" s="230">
        <f t="shared" si="14"/>
        <v>0</v>
      </c>
      <c r="R14" s="230">
        <f t="shared" si="16"/>
        <v>0</v>
      </c>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row>
    <row r="15" spans="1:248" ht="13.5">
      <c r="A15" s="173" t="s">
        <v>495</v>
      </c>
      <c r="B15" s="167"/>
      <c r="C15" s="144"/>
      <c r="D15" s="144"/>
      <c r="E15" s="144"/>
      <c r="F15" s="226">
        <f t="shared" si="3"/>
        <v>0</v>
      </c>
      <c r="G15" s="226">
        <f t="shared" si="4"/>
        <v>0</v>
      </c>
      <c r="H15" s="227">
        <f t="shared" si="5"/>
        <v>0</v>
      </c>
      <c r="I15" s="228">
        <f t="shared" si="6"/>
        <v>0</v>
      </c>
      <c r="J15" s="229">
        <f t="shared" si="7"/>
        <v>0</v>
      </c>
      <c r="K15" s="230">
        <f t="shared" si="8"/>
        <v>0</v>
      </c>
      <c r="L15" s="230">
        <f t="shared" si="9"/>
        <v>0</v>
      </c>
      <c r="M15" s="230">
        <f t="shared" si="10"/>
        <v>0</v>
      </c>
      <c r="N15" s="229">
        <f t="shared" si="11"/>
        <v>0</v>
      </c>
      <c r="O15" s="230">
        <f t="shared" si="12"/>
        <v>0</v>
      </c>
      <c r="P15" s="230">
        <f t="shared" si="13"/>
        <v>0</v>
      </c>
      <c r="Q15" s="230">
        <f t="shared" si="14"/>
        <v>0</v>
      </c>
      <c r="R15" s="230">
        <f t="shared" si="16"/>
        <v>0</v>
      </c>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row>
    <row r="16" spans="1:248">
      <c r="A16" s="172" t="s">
        <v>496</v>
      </c>
      <c r="B16" s="166"/>
      <c r="C16" s="156"/>
      <c r="D16" s="156"/>
      <c r="E16" s="156"/>
      <c r="F16" s="221">
        <f t="shared" si="3"/>
        <v>0</v>
      </c>
      <c r="G16" s="222">
        <f t="shared" si="4"/>
        <v>0</v>
      </c>
      <c r="H16" s="231">
        <f t="shared" si="5"/>
        <v>0</v>
      </c>
      <c r="I16" s="222">
        <f t="shared" si="6"/>
        <v>0</v>
      </c>
      <c r="J16" s="223">
        <f t="shared" si="7"/>
        <v>0</v>
      </c>
      <c r="K16" s="224">
        <f t="shared" si="8"/>
        <v>0</v>
      </c>
      <c r="L16" s="224">
        <f t="shared" si="9"/>
        <v>0</v>
      </c>
      <c r="M16" s="225">
        <f t="shared" si="10"/>
        <v>0</v>
      </c>
      <c r="N16" s="223">
        <f t="shared" si="11"/>
        <v>0</v>
      </c>
      <c r="O16" s="224">
        <f t="shared" si="12"/>
        <v>0</v>
      </c>
      <c r="P16" s="224">
        <f t="shared" si="13"/>
        <v>0</v>
      </c>
      <c r="Q16" s="224">
        <f t="shared" si="14"/>
        <v>0</v>
      </c>
      <c r="R16" s="225">
        <f t="shared" si="16"/>
        <v>0</v>
      </c>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row>
    <row r="17" spans="1:248">
      <c r="A17" s="172" t="s">
        <v>497</v>
      </c>
      <c r="B17" s="166"/>
      <c r="C17" s="166"/>
      <c r="D17" s="166"/>
      <c r="E17" s="166"/>
      <c r="F17" s="221">
        <f t="shared" si="3"/>
        <v>0</v>
      </c>
      <c r="G17" s="222">
        <f t="shared" si="4"/>
        <v>0</v>
      </c>
      <c r="H17" s="231">
        <f t="shared" si="5"/>
        <v>0</v>
      </c>
      <c r="I17" s="222">
        <f t="shared" si="6"/>
        <v>0</v>
      </c>
      <c r="J17" s="223">
        <f t="shared" si="7"/>
        <v>0</v>
      </c>
      <c r="K17" s="224">
        <f t="shared" si="8"/>
        <v>0</v>
      </c>
      <c r="L17" s="224">
        <f t="shared" si="9"/>
        <v>0</v>
      </c>
      <c r="M17" s="225">
        <f t="shared" si="10"/>
        <v>0</v>
      </c>
      <c r="N17" s="223">
        <f t="shared" si="11"/>
        <v>0</v>
      </c>
      <c r="O17" s="224">
        <f t="shared" si="12"/>
        <v>0</v>
      </c>
      <c r="P17" s="224">
        <f t="shared" si="13"/>
        <v>0</v>
      </c>
      <c r="Q17" s="224">
        <f t="shared" si="14"/>
        <v>0</v>
      </c>
      <c r="R17" s="225">
        <f t="shared" si="16"/>
        <v>0</v>
      </c>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row>
    <row r="18" spans="1:248" ht="13.5">
      <c r="A18" s="173" t="s">
        <v>498</v>
      </c>
      <c r="B18" s="167"/>
      <c r="C18" s="144"/>
      <c r="D18" s="144"/>
      <c r="E18" s="144"/>
      <c r="F18" s="232">
        <f t="shared" si="3"/>
        <v>0</v>
      </c>
      <c r="G18" s="232">
        <f t="shared" si="4"/>
        <v>0</v>
      </c>
      <c r="H18" s="227">
        <f t="shared" si="5"/>
        <v>0</v>
      </c>
      <c r="I18" s="228">
        <f t="shared" si="6"/>
        <v>0</v>
      </c>
      <c r="J18" s="229">
        <f t="shared" si="7"/>
        <v>0</v>
      </c>
      <c r="K18" s="230">
        <f t="shared" si="8"/>
        <v>0</v>
      </c>
      <c r="L18" s="230">
        <f t="shared" si="9"/>
        <v>0</v>
      </c>
      <c r="M18" s="230">
        <f t="shared" si="10"/>
        <v>0</v>
      </c>
      <c r="N18" s="229">
        <f t="shared" si="11"/>
        <v>0</v>
      </c>
      <c r="O18" s="230">
        <f t="shared" si="12"/>
        <v>0</v>
      </c>
      <c r="P18" s="230">
        <f t="shared" si="13"/>
        <v>0</v>
      </c>
      <c r="Q18" s="230">
        <f t="shared" si="14"/>
        <v>0</v>
      </c>
      <c r="R18" s="230">
        <f t="shared" si="16"/>
        <v>0</v>
      </c>
      <c r="S18" s="110"/>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row>
    <row r="19" spans="1:248" ht="13.5">
      <c r="A19" s="175" t="s">
        <v>499</v>
      </c>
      <c r="B19" s="167"/>
      <c r="C19" s="144"/>
      <c r="D19" s="144"/>
      <c r="E19" s="144"/>
      <c r="F19" s="232">
        <f t="shared" si="3"/>
        <v>0</v>
      </c>
      <c r="G19" s="232">
        <f t="shared" si="4"/>
        <v>0</v>
      </c>
      <c r="H19" s="227">
        <f t="shared" si="5"/>
        <v>0</v>
      </c>
      <c r="I19" s="228">
        <f t="shared" si="6"/>
        <v>0</v>
      </c>
      <c r="J19" s="229">
        <f t="shared" si="7"/>
        <v>0</v>
      </c>
      <c r="K19" s="230">
        <f t="shared" si="8"/>
        <v>0</v>
      </c>
      <c r="L19" s="230">
        <f t="shared" si="9"/>
        <v>0</v>
      </c>
      <c r="M19" s="230">
        <f t="shared" si="10"/>
        <v>0</v>
      </c>
      <c r="N19" s="229">
        <f t="shared" si="11"/>
        <v>0</v>
      </c>
      <c r="O19" s="230">
        <f t="shared" si="12"/>
        <v>0</v>
      </c>
      <c r="P19" s="230">
        <f t="shared" si="13"/>
        <v>0</v>
      </c>
      <c r="Q19" s="230">
        <f t="shared" si="14"/>
        <v>0</v>
      </c>
      <c r="R19" s="230">
        <f t="shared" si="16"/>
        <v>0</v>
      </c>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row>
    <row r="20" spans="1:248">
      <c r="A20" s="171" t="s">
        <v>500</v>
      </c>
      <c r="B20" s="165"/>
      <c r="C20" s="165"/>
      <c r="D20" s="165"/>
      <c r="E20" s="165"/>
      <c r="F20" s="216">
        <f t="shared" si="3"/>
        <v>0</v>
      </c>
      <c r="G20" s="217">
        <f t="shared" si="4"/>
        <v>0</v>
      </c>
      <c r="H20" s="233">
        <f t="shared" si="5"/>
        <v>0</v>
      </c>
      <c r="I20" s="217">
        <f t="shared" si="6"/>
        <v>0</v>
      </c>
      <c r="J20" s="218">
        <f t="shared" si="7"/>
        <v>0</v>
      </c>
      <c r="K20" s="219">
        <f t="shared" si="8"/>
        <v>0</v>
      </c>
      <c r="L20" s="219">
        <f t="shared" si="9"/>
        <v>0</v>
      </c>
      <c r="M20" s="220">
        <f t="shared" si="10"/>
        <v>0</v>
      </c>
      <c r="N20" s="218">
        <f>IFERROR((B20/B$20*100),0)</f>
        <v>0</v>
      </c>
      <c r="O20" s="219">
        <f t="shared" ref="O20:Q20" si="17">IFERROR((C20/C$20*100),0)</f>
        <v>0</v>
      </c>
      <c r="P20" s="219">
        <f t="shared" si="17"/>
        <v>0</v>
      </c>
      <c r="Q20" s="219">
        <f t="shared" si="17"/>
        <v>0</v>
      </c>
      <c r="R20" s="220">
        <f t="shared" si="16"/>
        <v>0</v>
      </c>
      <c r="S20" s="11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row>
    <row r="21" spans="1:248">
      <c r="A21" s="172" t="s">
        <v>501</v>
      </c>
      <c r="B21" s="166"/>
      <c r="C21" s="166"/>
      <c r="D21" s="166"/>
      <c r="E21" s="166"/>
      <c r="F21" s="221">
        <f t="shared" si="3"/>
        <v>0</v>
      </c>
      <c r="G21" s="222">
        <f t="shared" si="4"/>
        <v>0</v>
      </c>
      <c r="H21" s="231">
        <f t="shared" si="5"/>
        <v>0</v>
      </c>
      <c r="I21" s="222">
        <f t="shared" si="6"/>
        <v>0</v>
      </c>
      <c r="J21" s="223">
        <f t="shared" si="7"/>
        <v>0</v>
      </c>
      <c r="K21" s="224">
        <f t="shared" si="8"/>
        <v>0</v>
      </c>
      <c r="L21" s="224">
        <f t="shared" si="9"/>
        <v>0</v>
      </c>
      <c r="M21" s="225">
        <f t="shared" si="10"/>
        <v>0</v>
      </c>
      <c r="N21" s="223">
        <f t="shared" ref="N21:N28" si="18">IFERROR((B21/B$20*100),0)</f>
        <v>0</v>
      </c>
      <c r="O21" s="224">
        <f t="shared" ref="O21:O28" si="19">IFERROR((C21/C$20*100),0)</f>
        <v>0</v>
      </c>
      <c r="P21" s="224">
        <f t="shared" ref="P21:P28" si="20">IFERROR((D21/D$20*100),0)</f>
        <v>0</v>
      </c>
      <c r="Q21" s="224">
        <f t="shared" ref="Q21:Q28" si="21">IFERROR((E21/E$20*100),0)</f>
        <v>0</v>
      </c>
      <c r="R21" s="225">
        <f t="shared" si="16"/>
        <v>0</v>
      </c>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row>
    <row r="22" spans="1:248">
      <c r="A22" s="172" t="s">
        <v>502</v>
      </c>
      <c r="B22" s="166"/>
      <c r="C22" s="166"/>
      <c r="D22" s="166"/>
      <c r="E22" s="166"/>
      <c r="F22" s="221">
        <f t="shared" si="3"/>
        <v>0</v>
      </c>
      <c r="G22" s="222">
        <f t="shared" si="4"/>
        <v>0</v>
      </c>
      <c r="H22" s="231">
        <f t="shared" si="5"/>
        <v>0</v>
      </c>
      <c r="I22" s="222">
        <f t="shared" si="6"/>
        <v>0</v>
      </c>
      <c r="J22" s="223">
        <f t="shared" si="7"/>
        <v>0</v>
      </c>
      <c r="K22" s="224">
        <f t="shared" si="8"/>
        <v>0</v>
      </c>
      <c r="L22" s="224">
        <f t="shared" si="9"/>
        <v>0</v>
      </c>
      <c r="M22" s="225">
        <f t="shared" si="10"/>
        <v>0</v>
      </c>
      <c r="N22" s="223">
        <f t="shared" si="18"/>
        <v>0</v>
      </c>
      <c r="O22" s="224">
        <f t="shared" si="19"/>
        <v>0</v>
      </c>
      <c r="P22" s="224">
        <f t="shared" si="20"/>
        <v>0</v>
      </c>
      <c r="Q22" s="224">
        <f t="shared" si="21"/>
        <v>0</v>
      </c>
      <c r="R22" s="225">
        <f t="shared" si="16"/>
        <v>0</v>
      </c>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row>
    <row r="23" spans="1:248" ht="13.5">
      <c r="A23" s="173" t="s">
        <v>503</v>
      </c>
      <c r="B23" s="167"/>
      <c r="C23" s="144"/>
      <c r="D23" s="144"/>
      <c r="E23" s="144"/>
      <c r="F23" s="232">
        <f t="shared" si="3"/>
        <v>0</v>
      </c>
      <c r="G23" s="232">
        <f t="shared" si="4"/>
        <v>0</v>
      </c>
      <c r="H23" s="227">
        <f t="shared" si="5"/>
        <v>0</v>
      </c>
      <c r="I23" s="228">
        <f t="shared" si="6"/>
        <v>0</v>
      </c>
      <c r="J23" s="229">
        <f t="shared" si="7"/>
        <v>0</v>
      </c>
      <c r="K23" s="230">
        <f t="shared" si="8"/>
        <v>0</v>
      </c>
      <c r="L23" s="230">
        <f t="shared" si="9"/>
        <v>0</v>
      </c>
      <c r="M23" s="230">
        <f t="shared" si="10"/>
        <v>0</v>
      </c>
      <c r="N23" s="229">
        <f t="shared" si="18"/>
        <v>0</v>
      </c>
      <c r="O23" s="230">
        <f t="shared" si="19"/>
        <v>0</v>
      </c>
      <c r="P23" s="230">
        <f t="shared" si="20"/>
        <v>0</v>
      </c>
      <c r="Q23" s="230">
        <f t="shared" si="21"/>
        <v>0</v>
      </c>
      <c r="R23" s="230">
        <f t="shared" si="16"/>
        <v>0</v>
      </c>
      <c r="S23" s="110"/>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row>
    <row r="24" spans="1:248" ht="13.5">
      <c r="A24" s="173" t="s">
        <v>504</v>
      </c>
      <c r="B24" s="167"/>
      <c r="C24" s="144"/>
      <c r="D24" s="144"/>
      <c r="E24" s="144"/>
      <c r="F24" s="232">
        <f t="shared" si="3"/>
        <v>0</v>
      </c>
      <c r="G24" s="232">
        <f t="shared" si="4"/>
        <v>0</v>
      </c>
      <c r="H24" s="227">
        <f t="shared" si="5"/>
        <v>0</v>
      </c>
      <c r="I24" s="228">
        <f t="shared" si="6"/>
        <v>0</v>
      </c>
      <c r="J24" s="229">
        <f t="shared" si="7"/>
        <v>0</v>
      </c>
      <c r="K24" s="230">
        <f t="shared" si="8"/>
        <v>0</v>
      </c>
      <c r="L24" s="230">
        <f t="shared" si="9"/>
        <v>0</v>
      </c>
      <c r="M24" s="230">
        <f t="shared" si="10"/>
        <v>0</v>
      </c>
      <c r="N24" s="229">
        <f t="shared" si="18"/>
        <v>0</v>
      </c>
      <c r="O24" s="230">
        <f t="shared" si="19"/>
        <v>0</v>
      </c>
      <c r="P24" s="230">
        <f t="shared" si="20"/>
        <v>0</v>
      </c>
      <c r="Q24" s="230">
        <f t="shared" si="21"/>
        <v>0</v>
      </c>
      <c r="R24" s="230">
        <f t="shared" si="16"/>
        <v>0</v>
      </c>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row>
    <row r="25" spans="1:248" ht="13.5">
      <c r="A25" s="175" t="s">
        <v>505</v>
      </c>
      <c r="B25" s="168"/>
      <c r="C25" s="114"/>
      <c r="D25" s="114"/>
      <c r="E25" s="114"/>
      <c r="F25" s="232">
        <f t="shared" si="3"/>
        <v>0</v>
      </c>
      <c r="G25" s="232">
        <f t="shared" si="4"/>
        <v>0</v>
      </c>
      <c r="H25" s="227">
        <f t="shared" si="5"/>
        <v>0</v>
      </c>
      <c r="I25" s="228">
        <f t="shared" si="6"/>
        <v>0</v>
      </c>
      <c r="J25" s="229">
        <f t="shared" si="7"/>
        <v>0</v>
      </c>
      <c r="K25" s="230">
        <f t="shared" si="8"/>
        <v>0</v>
      </c>
      <c r="L25" s="230">
        <f t="shared" si="9"/>
        <v>0</v>
      </c>
      <c r="M25" s="230">
        <f t="shared" si="10"/>
        <v>0</v>
      </c>
      <c r="N25" s="229">
        <f t="shared" si="18"/>
        <v>0</v>
      </c>
      <c r="O25" s="230">
        <f t="shared" si="19"/>
        <v>0</v>
      </c>
      <c r="P25" s="230">
        <f t="shared" si="20"/>
        <v>0</v>
      </c>
      <c r="Q25" s="230">
        <f t="shared" si="21"/>
        <v>0</v>
      </c>
      <c r="R25" s="230">
        <f t="shared" si="16"/>
        <v>0</v>
      </c>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row>
    <row r="26" spans="1:248">
      <c r="A26" s="172" t="s">
        <v>506</v>
      </c>
      <c r="B26" s="166"/>
      <c r="C26" s="166"/>
      <c r="D26" s="166"/>
      <c r="E26" s="166"/>
      <c r="F26" s="221">
        <f t="shared" si="3"/>
        <v>0</v>
      </c>
      <c r="G26" s="222">
        <f t="shared" si="4"/>
        <v>0</v>
      </c>
      <c r="H26" s="231">
        <f t="shared" si="5"/>
        <v>0</v>
      </c>
      <c r="I26" s="222">
        <f t="shared" si="6"/>
        <v>0</v>
      </c>
      <c r="J26" s="223">
        <f t="shared" si="7"/>
        <v>0</v>
      </c>
      <c r="K26" s="224">
        <f t="shared" si="8"/>
        <v>0</v>
      </c>
      <c r="L26" s="224">
        <f t="shared" si="9"/>
        <v>0</v>
      </c>
      <c r="M26" s="225">
        <f t="shared" si="10"/>
        <v>0</v>
      </c>
      <c r="N26" s="223">
        <f t="shared" si="18"/>
        <v>0</v>
      </c>
      <c r="O26" s="224">
        <f t="shared" si="19"/>
        <v>0</v>
      </c>
      <c r="P26" s="224">
        <f t="shared" si="20"/>
        <v>0</v>
      </c>
      <c r="Q26" s="224">
        <f t="shared" si="21"/>
        <v>0</v>
      </c>
      <c r="R26" s="225">
        <f t="shared" si="16"/>
        <v>0</v>
      </c>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row>
    <row r="27" spans="1:248" ht="13.5">
      <c r="A27" s="173" t="s">
        <v>507</v>
      </c>
      <c r="B27" s="167"/>
      <c r="C27" s="144"/>
      <c r="D27" s="144"/>
      <c r="E27" s="144"/>
      <c r="F27" s="232">
        <f t="shared" si="3"/>
        <v>0</v>
      </c>
      <c r="G27" s="232">
        <f t="shared" si="4"/>
        <v>0</v>
      </c>
      <c r="H27" s="227">
        <f t="shared" si="5"/>
        <v>0</v>
      </c>
      <c r="I27" s="228">
        <f t="shared" si="6"/>
        <v>0</v>
      </c>
      <c r="J27" s="229">
        <f t="shared" si="7"/>
        <v>0</v>
      </c>
      <c r="K27" s="230">
        <f t="shared" si="8"/>
        <v>0</v>
      </c>
      <c r="L27" s="230">
        <f t="shared" si="9"/>
        <v>0</v>
      </c>
      <c r="M27" s="230">
        <f t="shared" si="10"/>
        <v>0</v>
      </c>
      <c r="N27" s="229">
        <f t="shared" si="18"/>
        <v>0</v>
      </c>
      <c r="O27" s="229">
        <f t="shared" si="19"/>
        <v>0</v>
      </c>
      <c r="P27" s="229">
        <f t="shared" si="20"/>
        <v>0</v>
      </c>
      <c r="Q27" s="229">
        <f t="shared" si="21"/>
        <v>0</v>
      </c>
      <c r="R27" s="230">
        <f t="shared" si="16"/>
        <v>0</v>
      </c>
      <c r="S27" s="115"/>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row>
    <row r="28" spans="1:248" ht="13.5">
      <c r="A28" s="175" t="s">
        <v>508</v>
      </c>
      <c r="B28" s="167"/>
      <c r="C28" s="144"/>
      <c r="D28" s="144"/>
      <c r="E28" s="144"/>
      <c r="F28" s="232">
        <f t="shared" si="3"/>
        <v>0</v>
      </c>
      <c r="G28" s="232">
        <f t="shared" si="4"/>
        <v>0</v>
      </c>
      <c r="H28" s="227">
        <f t="shared" si="5"/>
        <v>0</v>
      </c>
      <c r="I28" s="228">
        <f t="shared" si="6"/>
        <v>0</v>
      </c>
      <c r="J28" s="229">
        <f t="shared" si="7"/>
        <v>0</v>
      </c>
      <c r="K28" s="230">
        <f t="shared" si="8"/>
        <v>0</v>
      </c>
      <c r="L28" s="230">
        <f t="shared" si="9"/>
        <v>0</v>
      </c>
      <c r="M28" s="230">
        <f t="shared" si="10"/>
        <v>0</v>
      </c>
      <c r="N28" s="229">
        <f t="shared" si="18"/>
        <v>0</v>
      </c>
      <c r="O28" s="229">
        <f t="shared" si="19"/>
        <v>0</v>
      </c>
      <c r="P28" s="229">
        <f t="shared" si="20"/>
        <v>0</v>
      </c>
      <c r="Q28" s="229">
        <f t="shared" si="21"/>
        <v>0</v>
      </c>
      <c r="R28" s="230">
        <f t="shared" si="16"/>
        <v>0</v>
      </c>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row>
    <row r="29" spans="1:248">
      <c r="A29" s="172" t="s">
        <v>528</v>
      </c>
      <c r="B29" s="166"/>
      <c r="C29" s="166"/>
      <c r="D29" s="166"/>
      <c r="E29" s="166"/>
      <c r="F29" s="221">
        <f t="shared" si="3"/>
        <v>0</v>
      </c>
      <c r="G29" s="222">
        <f t="shared" si="4"/>
        <v>0</v>
      </c>
      <c r="H29" s="231">
        <f t="shared" si="5"/>
        <v>0</v>
      </c>
      <c r="I29" s="222">
        <f t="shared" si="6"/>
        <v>0</v>
      </c>
      <c r="J29" s="223">
        <f t="shared" si="7"/>
        <v>0</v>
      </c>
      <c r="K29" s="224">
        <f t="shared" si="8"/>
        <v>0</v>
      </c>
      <c r="L29" s="224">
        <f t="shared" si="9"/>
        <v>0</v>
      </c>
      <c r="M29" s="225">
        <f t="shared" si="10"/>
        <v>0</v>
      </c>
      <c r="N29" s="223">
        <f t="shared" ref="N29:N36" si="22">IFERROR((B29/B$6*100),0)</f>
        <v>0</v>
      </c>
      <c r="O29" s="224">
        <f t="shared" ref="O29:O36" si="23">IFERROR((C29/C$6*100),0)</f>
        <v>0</v>
      </c>
      <c r="P29" s="224">
        <f t="shared" ref="P29:P36" si="24">IFERROR((D29/D$6*100),0)</f>
        <v>0</v>
      </c>
      <c r="Q29" s="224">
        <f t="shared" ref="Q29:Q36" si="25">IFERROR((E29/E$6*100),0)</f>
        <v>0</v>
      </c>
      <c r="R29" s="225">
        <f t="shared" si="16"/>
        <v>0</v>
      </c>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row>
    <row r="30" spans="1:248">
      <c r="A30" s="172" t="s">
        <v>371</v>
      </c>
      <c r="B30" s="166"/>
      <c r="C30" s="166"/>
      <c r="D30" s="166"/>
      <c r="E30" s="166"/>
      <c r="F30" s="221">
        <f t="shared" si="3"/>
        <v>0</v>
      </c>
      <c r="G30" s="222">
        <f t="shared" si="4"/>
        <v>0</v>
      </c>
      <c r="H30" s="231">
        <f t="shared" si="5"/>
        <v>0</v>
      </c>
      <c r="I30" s="222">
        <f t="shared" si="6"/>
        <v>0</v>
      </c>
      <c r="J30" s="223">
        <f t="shared" si="7"/>
        <v>0</v>
      </c>
      <c r="K30" s="224">
        <f t="shared" si="8"/>
        <v>0</v>
      </c>
      <c r="L30" s="224">
        <f t="shared" si="9"/>
        <v>0</v>
      </c>
      <c r="M30" s="225">
        <f t="shared" si="10"/>
        <v>0</v>
      </c>
      <c r="N30" s="223">
        <f t="shared" si="22"/>
        <v>0</v>
      </c>
      <c r="O30" s="224">
        <f t="shared" si="23"/>
        <v>0</v>
      </c>
      <c r="P30" s="224">
        <f t="shared" si="24"/>
        <v>0</v>
      </c>
      <c r="Q30" s="224">
        <f t="shared" si="25"/>
        <v>0</v>
      </c>
      <c r="R30" s="225">
        <f t="shared" si="16"/>
        <v>0</v>
      </c>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row>
    <row r="31" spans="1:248" ht="13.5">
      <c r="A31" s="173" t="s">
        <v>509</v>
      </c>
      <c r="B31" s="168"/>
      <c r="C31" s="168"/>
      <c r="D31" s="168"/>
      <c r="E31" s="168"/>
      <c r="F31" s="232">
        <f t="shared" si="3"/>
        <v>0</v>
      </c>
      <c r="G31" s="232">
        <f t="shared" si="4"/>
        <v>0</v>
      </c>
      <c r="H31" s="227">
        <f t="shared" si="5"/>
        <v>0</v>
      </c>
      <c r="I31" s="228">
        <f t="shared" si="6"/>
        <v>0</v>
      </c>
      <c r="J31" s="229">
        <f t="shared" si="7"/>
        <v>0</v>
      </c>
      <c r="K31" s="230">
        <f t="shared" si="8"/>
        <v>0</v>
      </c>
      <c r="L31" s="230">
        <f t="shared" si="9"/>
        <v>0</v>
      </c>
      <c r="M31" s="230">
        <f t="shared" si="10"/>
        <v>0</v>
      </c>
      <c r="N31" s="229">
        <f t="shared" si="22"/>
        <v>0</v>
      </c>
      <c r="O31" s="230">
        <f t="shared" si="23"/>
        <v>0</v>
      </c>
      <c r="P31" s="230">
        <f t="shared" si="24"/>
        <v>0</v>
      </c>
      <c r="Q31" s="230">
        <f t="shared" si="25"/>
        <v>0</v>
      </c>
      <c r="R31" s="230">
        <f t="shared" si="16"/>
        <v>0</v>
      </c>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row>
    <row r="32" spans="1:248" ht="13.5">
      <c r="A32" s="173" t="s">
        <v>510</v>
      </c>
      <c r="B32" s="167"/>
      <c r="C32" s="144"/>
      <c r="D32" s="144"/>
      <c r="E32" s="144"/>
      <c r="F32" s="232">
        <f t="shared" si="3"/>
        <v>0</v>
      </c>
      <c r="G32" s="232">
        <f t="shared" si="4"/>
        <v>0</v>
      </c>
      <c r="H32" s="227">
        <f t="shared" si="5"/>
        <v>0</v>
      </c>
      <c r="I32" s="228">
        <f t="shared" si="6"/>
        <v>0</v>
      </c>
      <c r="J32" s="229">
        <f t="shared" si="7"/>
        <v>0</v>
      </c>
      <c r="K32" s="230">
        <f t="shared" si="8"/>
        <v>0</v>
      </c>
      <c r="L32" s="230">
        <f t="shared" si="9"/>
        <v>0</v>
      </c>
      <c r="M32" s="230">
        <f t="shared" si="10"/>
        <v>0</v>
      </c>
      <c r="N32" s="229">
        <f t="shared" si="22"/>
        <v>0</v>
      </c>
      <c r="O32" s="230">
        <f t="shared" si="23"/>
        <v>0</v>
      </c>
      <c r="P32" s="230">
        <f t="shared" si="24"/>
        <v>0</v>
      </c>
      <c r="Q32" s="230">
        <f t="shared" si="25"/>
        <v>0</v>
      </c>
      <c r="R32" s="230">
        <f t="shared" si="16"/>
        <v>0</v>
      </c>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row>
    <row r="33" spans="1:248" ht="13.5">
      <c r="A33" s="173" t="s">
        <v>511</v>
      </c>
      <c r="B33" s="167"/>
      <c r="C33" s="144"/>
      <c r="D33" s="144"/>
      <c r="E33" s="144"/>
      <c r="F33" s="232">
        <f t="shared" si="3"/>
        <v>0</v>
      </c>
      <c r="G33" s="232">
        <f t="shared" si="4"/>
        <v>0</v>
      </c>
      <c r="H33" s="227">
        <f t="shared" si="5"/>
        <v>0</v>
      </c>
      <c r="I33" s="228">
        <f t="shared" si="6"/>
        <v>0</v>
      </c>
      <c r="J33" s="229">
        <f t="shared" si="7"/>
        <v>0</v>
      </c>
      <c r="K33" s="230">
        <f t="shared" si="8"/>
        <v>0</v>
      </c>
      <c r="L33" s="230">
        <f t="shared" si="9"/>
        <v>0</v>
      </c>
      <c r="M33" s="230">
        <f t="shared" si="10"/>
        <v>0</v>
      </c>
      <c r="N33" s="229">
        <f t="shared" si="22"/>
        <v>0</v>
      </c>
      <c r="O33" s="230">
        <f t="shared" si="23"/>
        <v>0</v>
      </c>
      <c r="P33" s="230">
        <f t="shared" si="24"/>
        <v>0</v>
      </c>
      <c r="Q33" s="230">
        <f t="shared" si="25"/>
        <v>0</v>
      </c>
      <c r="R33" s="230">
        <f t="shared" si="16"/>
        <v>0</v>
      </c>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row>
    <row r="34" spans="1:248" ht="13.5">
      <c r="A34" s="173" t="s">
        <v>512</v>
      </c>
      <c r="B34" s="168"/>
      <c r="C34" s="114"/>
      <c r="D34" s="114"/>
      <c r="E34" s="114"/>
      <c r="F34" s="232">
        <f t="shared" si="3"/>
        <v>0</v>
      </c>
      <c r="G34" s="232">
        <f t="shared" si="4"/>
        <v>0</v>
      </c>
      <c r="H34" s="227">
        <f t="shared" si="5"/>
        <v>0</v>
      </c>
      <c r="I34" s="228">
        <f t="shared" si="6"/>
        <v>0</v>
      </c>
      <c r="J34" s="229">
        <f t="shared" si="7"/>
        <v>0</v>
      </c>
      <c r="K34" s="230">
        <f t="shared" si="8"/>
        <v>0</v>
      </c>
      <c r="L34" s="230">
        <f t="shared" si="9"/>
        <v>0</v>
      </c>
      <c r="M34" s="230">
        <f t="shared" si="10"/>
        <v>0</v>
      </c>
      <c r="N34" s="229">
        <f t="shared" si="22"/>
        <v>0</v>
      </c>
      <c r="O34" s="230">
        <f t="shared" si="23"/>
        <v>0</v>
      </c>
      <c r="P34" s="230">
        <f t="shared" si="24"/>
        <v>0</v>
      </c>
      <c r="Q34" s="230">
        <f t="shared" si="25"/>
        <v>0</v>
      </c>
      <c r="R34" s="230">
        <f t="shared" si="16"/>
        <v>0</v>
      </c>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row>
    <row r="35" spans="1:248" ht="13.5">
      <c r="A35" s="173" t="s">
        <v>513</v>
      </c>
      <c r="B35" s="167"/>
      <c r="C35" s="144"/>
      <c r="D35" s="144"/>
      <c r="E35" s="144"/>
      <c r="F35" s="232">
        <f t="shared" si="3"/>
        <v>0</v>
      </c>
      <c r="G35" s="232">
        <f t="shared" si="4"/>
        <v>0</v>
      </c>
      <c r="H35" s="227">
        <f t="shared" si="5"/>
        <v>0</v>
      </c>
      <c r="I35" s="228">
        <f t="shared" si="6"/>
        <v>0</v>
      </c>
      <c r="J35" s="229">
        <f t="shared" si="7"/>
        <v>0</v>
      </c>
      <c r="K35" s="230">
        <f t="shared" si="8"/>
        <v>0</v>
      </c>
      <c r="L35" s="230">
        <f t="shared" si="9"/>
        <v>0</v>
      </c>
      <c r="M35" s="230">
        <f t="shared" si="10"/>
        <v>0</v>
      </c>
      <c r="N35" s="229">
        <f t="shared" si="22"/>
        <v>0</v>
      </c>
      <c r="O35" s="230">
        <f t="shared" si="23"/>
        <v>0</v>
      </c>
      <c r="P35" s="230">
        <f t="shared" si="24"/>
        <v>0</v>
      </c>
      <c r="Q35" s="230">
        <f t="shared" si="25"/>
        <v>0</v>
      </c>
      <c r="R35" s="230">
        <f t="shared" si="16"/>
        <v>0</v>
      </c>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row>
    <row r="36" spans="1:248" ht="13.5">
      <c r="A36" s="175" t="s">
        <v>514</v>
      </c>
      <c r="B36" s="167"/>
      <c r="C36" s="144"/>
      <c r="D36" s="144"/>
      <c r="E36" s="144"/>
      <c r="F36" s="232">
        <f t="shared" si="3"/>
        <v>0</v>
      </c>
      <c r="G36" s="232">
        <f t="shared" si="4"/>
        <v>0</v>
      </c>
      <c r="H36" s="227">
        <f t="shared" si="5"/>
        <v>0</v>
      </c>
      <c r="I36" s="228">
        <f t="shared" si="6"/>
        <v>0</v>
      </c>
      <c r="J36" s="229">
        <f t="shared" si="7"/>
        <v>0</v>
      </c>
      <c r="K36" s="230">
        <f t="shared" si="8"/>
        <v>0</v>
      </c>
      <c r="L36" s="230">
        <f t="shared" si="9"/>
        <v>0</v>
      </c>
      <c r="M36" s="230">
        <f t="shared" si="10"/>
        <v>0</v>
      </c>
      <c r="N36" s="229">
        <f t="shared" si="22"/>
        <v>0</v>
      </c>
      <c r="O36" s="230">
        <f t="shared" si="23"/>
        <v>0</v>
      </c>
      <c r="P36" s="230">
        <f t="shared" si="24"/>
        <v>0</v>
      </c>
      <c r="Q36" s="230">
        <f t="shared" si="25"/>
        <v>0</v>
      </c>
      <c r="R36" s="230">
        <f t="shared" si="16"/>
        <v>0</v>
      </c>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row>
    <row r="37" spans="1:248">
      <c r="A37" s="172" t="s">
        <v>515</v>
      </c>
      <c r="B37" s="166"/>
      <c r="C37" s="166"/>
      <c r="D37" s="166"/>
      <c r="E37" s="166"/>
      <c r="F37" s="221">
        <f t="shared" si="3"/>
        <v>0</v>
      </c>
      <c r="G37" s="222">
        <f t="shared" si="4"/>
        <v>0</v>
      </c>
      <c r="H37" s="231">
        <f t="shared" si="5"/>
        <v>0</v>
      </c>
      <c r="I37" s="222">
        <f t="shared" si="6"/>
        <v>0</v>
      </c>
      <c r="J37" s="223">
        <f t="shared" si="7"/>
        <v>0</v>
      </c>
      <c r="K37" s="224">
        <f t="shared" si="8"/>
        <v>0</v>
      </c>
      <c r="L37" s="224">
        <f t="shared" si="9"/>
        <v>0</v>
      </c>
      <c r="M37" s="225">
        <f t="shared" si="10"/>
        <v>0</v>
      </c>
      <c r="N37" s="223">
        <f t="shared" ref="N37:N39" si="26">IFERROR((B37/B$20*100),0)</f>
        <v>0</v>
      </c>
      <c r="O37" s="224">
        <f t="shared" ref="O37:O39" si="27">IFERROR((C37/C$20*100),0)</f>
        <v>0</v>
      </c>
      <c r="P37" s="224">
        <f t="shared" ref="P37:P39" si="28">IFERROR((D37/D$20*100),0)</f>
        <v>0</v>
      </c>
      <c r="Q37" s="224">
        <f t="shared" ref="Q37:Q39" si="29">IFERROR((E37/E$20*100),0)</f>
        <v>0</v>
      </c>
      <c r="R37" s="225">
        <f t="shared" si="16"/>
        <v>0</v>
      </c>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row>
    <row r="38" spans="1:248" ht="13.5">
      <c r="A38" s="173" t="s">
        <v>516</v>
      </c>
      <c r="B38" s="167"/>
      <c r="C38" s="144"/>
      <c r="D38" s="144"/>
      <c r="E38" s="144"/>
      <c r="F38" s="232">
        <f t="shared" si="3"/>
        <v>0</v>
      </c>
      <c r="G38" s="232">
        <f t="shared" si="4"/>
        <v>0</v>
      </c>
      <c r="H38" s="227">
        <f t="shared" si="5"/>
        <v>0</v>
      </c>
      <c r="I38" s="228">
        <f t="shared" si="6"/>
        <v>0</v>
      </c>
      <c r="J38" s="229">
        <f t="shared" si="7"/>
        <v>0</v>
      </c>
      <c r="K38" s="230">
        <f t="shared" si="8"/>
        <v>0</v>
      </c>
      <c r="L38" s="230">
        <f t="shared" si="9"/>
        <v>0</v>
      </c>
      <c r="M38" s="230">
        <f t="shared" si="10"/>
        <v>0</v>
      </c>
      <c r="N38" s="229">
        <f t="shared" si="26"/>
        <v>0</v>
      </c>
      <c r="O38" s="230">
        <f t="shared" si="27"/>
        <v>0</v>
      </c>
      <c r="P38" s="230">
        <f t="shared" si="28"/>
        <v>0</v>
      </c>
      <c r="Q38" s="230">
        <f t="shared" si="29"/>
        <v>0</v>
      </c>
      <c r="R38" s="230">
        <f t="shared" si="16"/>
        <v>0</v>
      </c>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c r="ID38" s="102"/>
      <c r="IE38" s="102"/>
      <c r="IF38" s="102"/>
      <c r="IG38" s="102"/>
      <c r="IH38" s="102"/>
      <c r="II38" s="102"/>
      <c r="IJ38" s="102"/>
      <c r="IK38" s="102"/>
      <c r="IL38" s="102"/>
      <c r="IM38" s="102"/>
      <c r="IN38" s="102"/>
    </row>
    <row r="39" spans="1:248" ht="13.5">
      <c r="A39" s="176" t="s">
        <v>517</v>
      </c>
      <c r="B39" s="167"/>
      <c r="C39" s="144"/>
      <c r="D39" s="144"/>
      <c r="E39" s="144"/>
      <c r="F39" s="232">
        <f t="shared" si="3"/>
        <v>0</v>
      </c>
      <c r="G39" s="232">
        <f t="shared" si="4"/>
        <v>0</v>
      </c>
      <c r="H39" s="227">
        <f t="shared" si="5"/>
        <v>0</v>
      </c>
      <c r="I39" s="228">
        <f t="shared" si="6"/>
        <v>0</v>
      </c>
      <c r="J39" s="229">
        <f t="shared" si="7"/>
        <v>0</v>
      </c>
      <c r="K39" s="230">
        <f t="shared" si="8"/>
        <v>0</v>
      </c>
      <c r="L39" s="230">
        <f t="shared" si="9"/>
        <v>0</v>
      </c>
      <c r="M39" s="230">
        <f t="shared" si="10"/>
        <v>0</v>
      </c>
      <c r="N39" s="229">
        <f t="shared" si="26"/>
        <v>0</v>
      </c>
      <c r="O39" s="230">
        <f t="shared" si="27"/>
        <v>0</v>
      </c>
      <c r="P39" s="230">
        <f t="shared" si="28"/>
        <v>0</v>
      </c>
      <c r="Q39" s="230">
        <f t="shared" si="29"/>
        <v>0</v>
      </c>
      <c r="R39" s="230">
        <f t="shared" si="16"/>
        <v>0</v>
      </c>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c r="EO39" s="102"/>
      <c r="EP39" s="102"/>
      <c r="EQ39" s="102"/>
      <c r="ER39" s="102"/>
      <c r="ES39" s="102"/>
      <c r="ET39" s="102"/>
      <c r="EU39" s="102"/>
      <c r="EV39" s="102"/>
      <c r="EW39" s="102"/>
      <c r="EX39" s="102"/>
      <c r="EY39" s="102"/>
      <c r="EZ39" s="102"/>
      <c r="FA39" s="102"/>
      <c r="FB39" s="102"/>
      <c r="FC39" s="102"/>
      <c r="FD39" s="102"/>
      <c r="FE39" s="102"/>
      <c r="FF39" s="102"/>
      <c r="FG39" s="102"/>
      <c r="FH39" s="102"/>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2"/>
      <c r="GQ39" s="102"/>
      <c r="GR39" s="102"/>
      <c r="GS39" s="102"/>
      <c r="GT39" s="102"/>
      <c r="GU39" s="102"/>
      <c r="GV39" s="102"/>
      <c r="GW39" s="102"/>
      <c r="GX39" s="102"/>
      <c r="GY39" s="102"/>
      <c r="GZ39" s="102"/>
      <c r="HA39" s="102"/>
      <c r="HB39" s="102"/>
      <c r="HC39" s="102"/>
      <c r="HD39" s="102"/>
      <c r="HE39" s="102"/>
      <c r="HF39" s="102"/>
      <c r="HG39" s="102"/>
      <c r="HH39" s="102"/>
      <c r="HI39" s="102"/>
      <c r="HJ39" s="102"/>
      <c r="HK39" s="102"/>
      <c r="HL39" s="102"/>
      <c r="HM39" s="102"/>
      <c r="HN39" s="102"/>
      <c r="HO39" s="102"/>
      <c r="HP39" s="102"/>
      <c r="HQ39" s="102"/>
      <c r="HR39" s="102"/>
      <c r="HS39" s="102"/>
      <c r="HT39" s="102"/>
      <c r="HU39" s="102"/>
      <c r="HV39" s="102"/>
      <c r="HW39" s="102"/>
      <c r="HX39" s="102"/>
      <c r="HY39" s="102"/>
      <c r="HZ39" s="102"/>
      <c r="IA39" s="102"/>
      <c r="IB39" s="102"/>
      <c r="IC39" s="102"/>
      <c r="ID39" s="102"/>
      <c r="IE39" s="102"/>
      <c r="IF39" s="102"/>
      <c r="IG39" s="102"/>
      <c r="IH39" s="102"/>
      <c r="II39" s="102"/>
      <c r="IJ39" s="102"/>
      <c r="IK39" s="102"/>
      <c r="IL39" s="102"/>
      <c r="IM39" s="102"/>
      <c r="IN39" s="102"/>
    </row>
    <row r="40" spans="1:248">
      <c r="A40" s="171" t="s">
        <v>518</v>
      </c>
      <c r="B40" s="165"/>
      <c r="C40" s="165"/>
      <c r="D40" s="165"/>
      <c r="E40" s="165"/>
      <c r="F40" s="216">
        <f t="shared" si="3"/>
        <v>0</v>
      </c>
      <c r="G40" s="217">
        <f t="shared" si="4"/>
        <v>0</v>
      </c>
      <c r="H40" s="233">
        <f t="shared" si="5"/>
        <v>0</v>
      </c>
      <c r="I40" s="217">
        <f t="shared" si="6"/>
        <v>0</v>
      </c>
      <c r="J40" s="218">
        <f t="shared" si="7"/>
        <v>0</v>
      </c>
      <c r="K40" s="219">
        <f t="shared" si="8"/>
        <v>0</v>
      </c>
      <c r="L40" s="219">
        <f t="shared" si="9"/>
        <v>0</v>
      </c>
      <c r="M40" s="220">
        <f t="shared" si="10"/>
        <v>0</v>
      </c>
      <c r="N40" s="218">
        <f t="shared" ref="N40:N49" si="30">IFERROR((B40/B$6*100),0)</f>
        <v>0</v>
      </c>
      <c r="O40" s="219">
        <f t="shared" ref="O40:O49" si="31">IFERROR((C40/C$6*100),0)</f>
        <v>0</v>
      </c>
      <c r="P40" s="219">
        <f t="shared" ref="P40:P49" si="32">IFERROR((D40/D$6*100),0)</f>
        <v>0</v>
      </c>
      <c r="Q40" s="219">
        <f t="shared" ref="Q40:Q49" si="33">IFERROR((E40/E$6*100),0)</f>
        <v>0</v>
      </c>
      <c r="R40" s="220">
        <f t="shared" si="16"/>
        <v>0</v>
      </c>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row>
    <row r="41" spans="1:248">
      <c r="A41" s="171" t="s">
        <v>519</v>
      </c>
      <c r="B41" s="165"/>
      <c r="C41" s="165"/>
      <c r="D41" s="165"/>
      <c r="E41" s="165"/>
      <c r="F41" s="216">
        <f t="shared" si="3"/>
        <v>0</v>
      </c>
      <c r="G41" s="217">
        <f t="shared" si="4"/>
        <v>0</v>
      </c>
      <c r="H41" s="233">
        <f t="shared" si="5"/>
        <v>0</v>
      </c>
      <c r="I41" s="217">
        <f t="shared" si="6"/>
        <v>0</v>
      </c>
      <c r="J41" s="218">
        <f t="shared" si="7"/>
        <v>0</v>
      </c>
      <c r="K41" s="219">
        <f t="shared" si="8"/>
        <v>0</v>
      </c>
      <c r="L41" s="219">
        <f t="shared" si="9"/>
        <v>0</v>
      </c>
      <c r="M41" s="220">
        <f t="shared" si="10"/>
        <v>0</v>
      </c>
      <c r="N41" s="218">
        <f t="shared" si="30"/>
        <v>0</v>
      </c>
      <c r="O41" s="219">
        <f t="shared" si="31"/>
        <v>0</v>
      </c>
      <c r="P41" s="219">
        <f t="shared" si="32"/>
        <v>0</v>
      </c>
      <c r="Q41" s="219">
        <f t="shared" si="33"/>
        <v>0</v>
      </c>
      <c r="R41" s="220">
        <f t="shared" si="16"/>
        <v>0</v>
      </c>
    </row>
    <row r="42" spans="1:248">
      <c r="A42" s="172" t="s">
        <v>520</v>
      </c>
      <c r="B42" s="166"/>
      <c r="C42" s="166"/>
      <c r="D42" s="166"/>
      <c r="E42" s="166"/>
      <c r="F42" s="221">
        <f t="shared" si="3"/>
        <v>0</v>
      </c>
      <c r="G42" s="222">
        <f t="shared" si="4"/>
        <v>0</v>
      </c>
      <c r="H42" s="231">
        <f t="shared" si="5"/>
        <v>0</v>
      </c>
      <c r="I42" s="222">
        <f t="shared" si="6"/>
        <v>0</v>
      </c>
      <c r="J42" s="223">
        <f t="shared" si="7"/>
        <v>0</v>
      </c>
      <c r="K42" s="224">
        <f t="shared" si="8"/>
        <v>0</v>
      </c>
      <c r="L42" s="224">
        <f t="shared" si="9"/>
        <v>0</v>
      </c>
      <c r="M42" s="225">
        <f t="shared" si="10"/>
        <v>0</v>
      </c>
      <c r="N42" s="223">
        <f t="shared" si="30"/>
        <v>0</v>
      </c>
      <c r="O42" s="224">
        <f t="shared" si="31"/>
        <v>0</v>
      </c>
      <c r="P42" s="224">
        <f t="shared" si="32"/>
        <v>0</v>
      </c>
      <c r="Q42" s="224">
        <f t="shared" si="33"/>
        <v>0</v>
      </c>
      <c r="R42" s="225">
        <f t="shared" si="16"/>
        <v>0</v>
      </c>
    </row>
    <row r="43" spans="1:248" ht="13.5">
      <c r="A43" s="173" t="s">
        <v>521</v>
      </c>
      <c r="B43" s="169"/>
      <c r="C43" s="145"/>
      <c r="D43" s="145"/>
      <c r="E43" s="114"/>
      <c r="F43" s="232">
        <f t="shared" si="3"/>
        <v>0</v>
      </c>
      <c r="G43" s="232">
        <f t="shared" si="4"/>
        <v>0</v>
      </c>
      <c r="H43" s="227">
        <f t="shared" si="5"/>
        <v>0</v>
      </c>
      <c r="I43" s="228">
        <f t="shared" si="6"/>
        <v>0</v>
      </c>
      <c r="J43" s="229">
        <f t="shared" si="7"/>
        <v>0</v>
      </c>
      <c r="K43" s="230">
        <f t="shared" si="8"/>
        <v>0</v>
      </c>
      <c r="L43" s="230">
        <f t="shared" si="9"/>
        <v>0</v>
      </c>
      <c r="M43" s="230">
        <f t="shared" si="10"/>
        <v>0</v>
      </c>
      <c r="N43" s="229">
        <f t="shared" si="30"/>
        <v>0</v>
      </c>
      <c r="O43" s="230">
        <f t="shared" si="31"/>
        <v>0</v>
      </c>
      <c r="P43" s="230">
        <f t="shared" si="32"/>
        <v>0</v>
      </c>
      <c r="Q43" s="230">
        <f t="shared" si="33"/>
        <v>0</v>
      </c>
      <c r="R43" s="230">
        <f t="shared" si="16"/>
        <v>0</v>
      </c>
    </row>
    <row r="44" spans="1:248" ht="13.5">
      <c r="A44" s="173" t="s">
        <v>522</v>
      </c>
      <c r="B44" s="169"/>
      <c r="C44" s="145"/>
      <c r="D44" s="145"/>
      <c r="E44" s="114"/>
      <c r="F44" s="232">
        <f t="shared" si="3"/>
        <v>0</v>
      </c>
      <c r="G44" s="232">
        <f t="shared" si="4"/>
        <v>0</v>
      </c>
      <c r="H44" s="227">
        <f t="shared" si="5"/>
        <v>0</v>
      </c>
      <c r="I44" s="228">
        <f t="shared" si="6"/>
        <v>0</v>
      </c>
      <c r="J44" s="229">
        <f t="shared" si="7"/>
        <v>0</v>
      </c>
      <c r="K44" s="230">
        <f t="shared" si="8"/>
        <v>0</v>
      </c>
      <c r="L44" s="230">
        <f t="shared" si="9"/>
        <v>0</v>
      </c>
      <c r="M44" s="230">
        <f t="shared" si="10"/>
        <v>0</v>
      </c>
      <c r="N44" s="229">
        <f t="shared" si="30"/>
        <v>0</v>
      </c>
      <c r="O44" s="230">
        <f t="shared" si="31"/>
        <v>0</v>
      </c>
      <c r="P44" s="230">
        <f t="shared" si="32"/>
        <v>0</v>
      </c>
      <c r="Q44" s="230">
        <f t="shared" si="33"/>
        <v>0</v>
      </c>
      <c r="R44" s="230">
        <f t="shared" si="16"/>
        <v>0</v>
      </c>
    </row>
    <row r="45" spans="1:248">
      <c r="A45" s="172" t="s">
        <v>523</v>
      </c>
      <c r="B45" s="166"/>
      <c r="C45" s="166"/>
      <c r="D45" s="166"/>
      <c r="E45" s="166"/>
      <c r="F45" s="221">
        <f t="shared" si="3"/>
        <v>0</v>
      </c>
      <c r="G45" s="222">
        <f t="shared" si="4"/>
        <v>0</v>
      </c>
      <c r="H45" s="231">
        <f t="shared" si="5"/>
        <v>0</v>
      </c>
      <c r="I45" s="222">
        <f t="shared" si="6"/>
        <v>0</v>
      </c>
      <c r="J45" s="223">
        <f t="shared" si="7"/>
        <v>0</v>
      </c>
      <c r="K45" s="224">
        <f t="shared" si="8"/>
        <v>0</v>
      </c>
      <c r="L45" s="224">
        <f t="shared" si="9"/>
        <v>0</v>
      </c>
      <c r="M45" s="225">
        <f t="shared" si="10"/>
        <v>0</v>
      </c>
      <c r="N45" s="223">
        <f t="shared" si="30"/>
        <v>0</v>
      </c>
      <c r="O45" s="224">
        <f t="shared" si="31"/>
        <v>0</v>
      </c>
      <c r="P45" s="224">
        <f t="shared" si="32"/>
        <v>0</v>
      </c>
      <c r="Q45" s="224">
        <f t="shared" si="33"/>
        <v>0</v>
      </c>
      <c r="R45" s="225">
        <f t="shared" si="16"/>
        <v>0</v>
      </c>
    </row>
    <row r="46" spans="1:248" ht="13.5">
      <c r="A46" s="173" t="s">
        <v>524</v>
      </c>
      <c r="B46" s="169"/>
      <c r="C46" s="145"/>
      <c r="D46" s="145"/>
      <c r="E46" s="114"/>
      <c r="F46" s="232">
        <f t="shared" si="3"/>
        <v>0</v>
      </c>
      <c r="G46" s="232">
        <f t="shared" si="4"/>
        <v>0</v>
      </c>
      <c r="H46" s="227">
        <f t="shared" si="5"/>
        <v>0</v>
      </c>
      <c r="I46" s="228">
        <f t="shared" si="6"/>
        <v>0</v>
      </c>
      <c r="J46" s="229">
        <f t="shared" si="7"/>
        <v>0</v>
      </c>
      <c r="K46" s="230">
        <f t="shared" si="8"/>
        <v>0</v>
      </c>
      <c r="L46" s="230">
        <f t="shared" si="9"/>
        <v>0</v>
      </c>
      <c r="M46" s="230">
        <f t="shared" si="10"/>
        <v>0</v>
      </c>
      <c r="N46" s="229">
        <f t="shared" si="30"/>
        <v>0</v>
      </c>
      <c r="O46" s="230">
        <f t="shared" si="31"/>
        <v>0</v>
      </c>
      <c r="P46" s="230">
        <f t="shared" si="32"/>
        <v>0</v>
      </c>
      <c r="Q46" s="230">
        <f t="shared" si="33"/>
        <v>0</v>
      </c>
      <c r="R46" s="230">
        <f t="shared" si="16"/>
        <v>0</v>
      </c>
    </row>
    <row r="47" spans="1:248" ht="13.5">
      <c r="A47" s="176" t="s">
        <v>525</v>
      </c>
      <c r="B47" s="169"/>
      <c r="C47" s="145"/>
      <c r="D47" s="145"/>
      <c r="E47" s="114"/>
      <c r="F47" s="232">
        <f t="shared" si="3"/>
        <v>0</v>
      </c>
      <c r="G47" s="232">
        <f t="shared" si="4"/>
        <v>0</v>
      </c>
      <c r="H47" s="227">
        <f t="shared" si="5"/>
        <v>0</v>
      </c>
      <c r="I47" s="228">
        <f t="shared" si="6"/>
        <v>0</v>
      </c>
      <c r="J47" s="229">
        <f t="shared" si="7"/>
        <v>0</v>
      </c>
      <c r="K47" s="230">
        <f t="shared" si="8"/>
        <v>0</v>
      </c>
      <c r="L47" s="230">
        <f t="shared" si="9"/>
        <v>0</v>
      </c>
      <c r="M47" s="230">
        <f t="shared" si="10"/>
        <v>0</v>
      </c>
      <c r="N47" s="229">
        <f t="shared" si="30"/>
        <v>0</v>
      </c>
      <c r="O47" s="230">
        <f t="shared" si="31"/>
        <v>0</v>
      </c>
      <c r="P47" s="230">
        <f t="shared" si="32"/>
        <v>0</v>
      </c>
      <c r="Q47" s="230">
        <f t="shared" si="33"/>
        <v>0</v>
      </c>
      <c r="R47" s="230">
        <f t="shared" si="16"/>
        <v>0</v>
      </c>
    </row>
    <row r="48" spans="1:248">
      <c r="A48" s="172" t="s">
        <v>526</v>
      </c>
      <c r="B48" s="166"/>
      <c r="C48" s="156"/>
      <c r="D48" s="156"/>
      <c r="E48" s="156"/>
      <c r="F48" s="221">
        <f t="shared" si="3"/>
        <v>0</v>
      </c>
      <c r="G48" s="221">
        <f t="shared" si="4"/>
        <v>0</v>
      </c>
      <c r="H48" s="221">
        <f t="shared" si="5"/>
        <v>0</v>
      </c>
      <c r="I48" s="222">
        <f t="shared" si="6"/>
        <v>0</v>
      </c>
      <c r="J48" s="223">
        <f t="shared" si="7"/>
        <v>0</v>
      </c>
      <c r="K48" s="224">
        <f t="shared" si="8"/>
        <v>0</v>
      </c>
      <c r="L48" s="224">
        <f t="shared" si="9"/>
        <v>0</v>
      </c>
      <c r="M48" s="225">
        <f t="shared" si="10"/>
        <v>0</v>
      </c>
      <c r="N48" s="223">
        <f t="shared" si="30"/>
        <v>0</v>
      </c>
      <c r="O48" s="224">
        <f t="shared" si="31"/>
        <v>0</v>
      </c>
      <c r="P48" s="224">
        <f t="shared" si="32"/>
        <v>0</v>
      </c>
      <c r="Q48" s="224">
        <f t="shared" si="33"/>
        <v>0</v>
      </c>
      <c r="R48" s="225">
        <f t="shared" si="16"/>
        <v>0</v>
      </c>
    </row>
    <row r="49" spans="1:18">
      <c r="A49" s="177" t="s">
        <v>527</v>
      </c>
      <c r="B49" s="182"/>
      <c r="C49" s="183"/>
      <c r="D49" s="183"/>
      <c r="E49" s="183"/>
      <c r="F49" s="234">
        <f t="shared" si="3"/>
        <v>0</v>
      </c>
      <c r="G49" s="234">
        <f t="shared" si="4"/>
        <v>0</v>
      </c>
      <c r="H49" s="234">
        <f t="shared" si="5"/>
        <v>0</v>
      </c>
      <c r="I49" s="235">
        <f t="shared" si="6"/>
        <v>0</v>
      </c>
      <c r="J49" s="236">
        <f t="shared" si="7"/>
        <v>0</v>
      </c>
      <c r="K49" s="237">
        <f t="shared" si="8"/>
        <v>0</v>
      </c>
      <c r="L49" s="237">
        <f t="shared" si="9"/>
        <v>0</v>
      </c>
      <c r="M49" s="238">
        <f t="shared" si="10"/>
        <v>0</v>
      </c>
      <c r="N49" s="236">
        <f t="shared" si="30"/>
        <v>0</v>
      </c>
      <c r="O49" s="237">
        <f t="shared" si="31"/>
        <v>0</v>
      </c>
      <c r="P49" s="237">
        <f t="shared" si="32"/>
        <v>0</v>
      </c>
      <c r="Q49" s="237">
        <f t="shared" si="33"/>
        <v>0</v>
      </c>
      <c r="R49" s="238">
        <f t="shared" si="16"/>
        <v>0</v>
      </c>
    </row>
    <row r="50" spans="1:18">
      <c r="C50" s="146"/>
      <c r="E50" s="147"/>
      <c r="F50" s="101"/>
      <c r="G50" s="101"/>
    </row>
    <row r="51" spans="1:18">
      <c r="C51" s="146"/>
      <c r="E51" s="148"/>
      <c r="F51" s="101"/>
      <c r="G51" s="101"/>
    </row>
    <row r="52" spans="1:18">
      <c r="A52" s="117" t="s">
        <v>332</v>
      </c>
      <c r="B52" s="117"/>
      <c r="C52" s="149"/>
      <c r="D52" s="119"/>
      <c r="E52" s="148"/>
      <c r="F52" s="115"/>
      <c r="G52" s="115"/>
    </row>
    <row r="53" spans="1:18" ht="13.5">
      <c r="A53" s="150" t="s">
        <v>529</v>
      </c>
      <c r="C53" s="146"/>
      <c r="E53" s="148"/>
      <c r="F53" s="101"/>
      <c r="G53" s="101"/>
    </row>
    <row r="54" spans="1:18">
      <c r="C54" s="146"/>
      <c r="E54" s="148"/>
      <c r="F54" s="101"/>
      <c r="G54" s="101"/>
    </row>
    <row r="55" spans="1:18">
      <c r="C55" s="146"/>
      <c r="E55" s="148"/>
      <c r="F55" s="101"/>
      <c r="G55" s="101"/>
    </row>
    <row r="56" spans="1:18">
      <c r="C56" s="146"/>
      <c r="E56" s="148"/>
      <c r="F56" s="101"/>
      <c r="G56" s="101"/>
    </row>
    <row r="57" spans="1:18">
      <c r="C57" s="146"/>
      <c r="E57" s="148"/>
      <c r="F57" s="101"/>
      <c r="G57" s="101"/>
    </row>
    <row r="58" spans="1:18">
      <c r="C58" s="146"/>
      <c r="E58" s="148"/>
      <c r="F58" s="101"/>
      <c r="G58" s="101"/>
    </row>
    <row r="59" spans="1:18">
      <c r="C59" s="146"/>
      <c r="E59" s="148"/>
      <c r="F59" s="101"/>
      <c r="G59" s="101"/>
    </row>
    <row r="60" spans="1:18">
      <c r="C60" s="146"/>
      <c r="E60" s="148"/>
      <c r="F60" s="101"/>
      <c r="G60" s="101"/>
    </row>
    <row r="61" spans="1:18">
      <c r="C61" s="146"/>
      <c r="E61" s="148"/>
      <c r="F61" s="101"/>
      <c r="G61" s="101"/>
    </row>
    <row r="62" spans="1:18">
      <c r="C62" s="146"/>
      <c r="E62" s="148"/>
      <c r="F62" s="101"/>
      <c r="G62" s="101"/>
    </row>
    <row r="63" spans="1:18">
      <c r="C63" s="146"/>
      <c r="E63" s="148"/>
      <c r="F63" s="101"/>
      <c r="G63" s="101"/>
    </row>
    <row r="64" spans="1:18">
      <c r="C64" s="146"/>
      <c r="E64" s="148"/>
      <c r="F64" s="101"/>
      <c r="G64" s="101"/>
    </row>
    <row r="65" spans="5:7">
      <c r="E65" s="148"/>
      <c r="F65" s="101"/>
      <c r="G65" s="101"/>
    </row>
  </sheetData>
  <sheetProtection password="CF66" sheet="1" objects="1" scenarios="1"/>
  <hyperlinks>
    <hyperlink ref="A43" r:id="rId1" display="http://www.dnp.gov.co/PortalWeb/Programas/DesarrolloTerritorial/FinanzasPúblicasTerritoriales/EjecucionesPresupuestales/tabid/369/Default.aspx"/>
    <hyperlink ref="A53" r:id="rId2"/>
  </hyperlinks>
  <pageMargins left="0.34" right="0.23622047244094491" top="0.74803149606299213" bottom="0.74803149606299213" header="0.31496062992125984" footer="0.31496062992125984"/>
  <pageSetup scale="74" orientation="landscape" r:id="rId3"/>
</worksheet>
</file>

<file path=xl/worksheets/sheet5.xml><?xml version="1.0" encoding="utf-8"?>
<worksheet xmlns="http://schemas.openxmlformats.org/spreadsheetml/2006/main" xmlns:r="http://schemas.openxmlformats.org/officeDocument/2006/relationships">
  <dimension ref="A1:S62"/>
  <sheetViews>
    <sheetView workbookViewId="0">
      <selection activeCell="A40" sqref="A40"/>
    </sheetView>
  </sheetViews>
  <sheetFormatPr baseColWidth="10" defaultRowHeight="12.75"/>
  <cols>
    <col min="1" max="1" width="41.5703125" style="100" customWidth="1"/>
    <col min="2" max="5" width="10.7109375" style="100" customWidth="1"/>
    <col min="6" max="9" width="10.42578125" style="101" bestFit="1" customWidth="1"/>
    <col min="10" max="12" width="9.42578125" style="153" bestFit="1" customWidth="1"/>
    <col min="13" max="13" width="9.7109375" style="153" customWidth="1"/>
    <col min="14" max="17" width="10" style="153" customWidth="1"/>
    <col min="18" max="18" width="9.5703125" style="153" customWidth="1"/>
    <col min="19" max="234" width="11.42578125" style="101"/>
    <col min="235" max="235" width="46.140625" style="101" customWidth="1"/>
    <col min="236" max="236" width="0" style="101" hidden="1" customWidth="1"/>
    <col min="237" max="240" width="9.5703125" style="101" customWidth="1"/>
    <col min="241" max="245" width="9.28515625" style="101" customWidth="1"/>
    <col min="246" max="249" width="9.140625" style="101" customWidth="1"/>
    <col min="250" max="254" width="9.42578125" style="101" bestFit="1" customWidth="1"/>
    <col min="255" max="255" width="9.7109375" style="101" customWidth="1"/>
    <col min="256" max="258" width="7" style="101" customWidth="1"/>
    <col min="259" max="259" width="6.7109375" style="101" customWidth="1"/>
    <col min="260" max="261" width="7" style="101" customWidth="1"/>
    <col min="262" max="262" width="8.7109375" style="101" customWidth="1"/>
    <col min="263" max="263" width="11.42578125" style="101"/>
    <col min="264" max="264" width="50" style="101" bestFit="1" customWidth="1"/>
    <col min="265" max="274" width="10.7109375" style="101" bestFit="1" customWidth="1"/>
    <col min="275" max="490" width="11.42578125" style="101"/>
    <col min="491" max="491" width="46.140625" style="101" customWidth="1"/>
    <col min="492" max="492" width="0" style="101" hidden="1" customWidth="1"/>
    <col min="493" max="496" width="9.5703125" style="101" customWidth="1"/>
    <col min="497" max="501" width="9.28515625" style="101" customWidth="1"/>
    <col min="502" max="505" width="9.140625" style="101" customWidth="1"/>
    <col min="506" max="510" width="9.42578125" style="101" bestFit="1" customWidth="1"/>
    <col min="511" max="511" width="9.7109375" style="101" customWidth="1"/>
    <col min="512" max="514" width="7" style="101" customWidth="1"/>
    <col min="515" max="515" width="6.7109375" style="101" customWidth="1"/>
    <col min="516" max="517" width="7" style="101" customWidth="1"/>
    <col min="518" max="518" width="8.7109375" style="101" customWidth="1"/>
    <col min="519" max="519" width="11.42578125" style="101"/>
    <col min="520" max="520" width="50" style="101" bestFit="1" customWidth="1"/>
    <col min="521" max="530" width="10.7109375" style="101" bestFit="1" customWidth="1"/>
    <col min="531" max="746" width="11.42578125" style="101"/>
    <col min="747" max="747" width="46.140625" style="101" customWidth="1"/>
    <col min="748" max="748" width="0" style="101" hidden="1" customWidth="1"/>
    <col min="749" max="752" width="9.5703125" style="101" customWidth="1"/>
    <col min="753" max="757" width="9.28515625" style="101" customWidth="1"/>
    <col min="758" max="761" width="9.140625" style="101" customWidth="1"/>
    <col min="762" max="766" width="9.42578125" style="101" bestFit="1" customWidth="1"/>
    <col min="767" max="767" width="9.7109375" style="101" customWidth="1"/>
    <col min="768" max="770" width="7" style="101" customWidth="1"/>
    <col min="771" max="771" width="6.7109375" style="101" customWidth="1"/>
    <col min="772" max="773" width="7" style="101" customWidth="1"/>
    <col min="774" max="774" width="8.7109375" style="101" customWidth="1"/>
    <col min="775" max="775" width="11.42578125" style="101"/>
    <col min="776" max="776" width="50" style="101" bestFit="1" customWidth="1"/>
    <col min="777" max="786" width="10.7109375" style="101" bestFit="1" customWidth="1"/>
    <col min="787" max="1002" width="11.42578125" style="101"/>
    <col min="1003" max="1003" width="46.140625" style="101" customWidth="1"/>
    <col min="1004" max="1004" width="0" style="101" hidden="1" customWidth="1"/>
    <col min="1005" max="1008" width="9.5703125" style="101" customWidth="1"/>
    <col min="1009" max="1013" width="9.28515625" style="101" customWidth="1"/>
    <col min="1014" max="1017" width="9.140625" style="101" customWidth="1"/>
    <col min="1018" max="1022" width="9.42578125" style="101" bestFit="1" customWidth="1"/>
    <col min="1023" max="1023" width="9.7109375" style="101" customWidth="1"/>
    <col min="1024" max="1026" width="7" style="101" customWidth="1"/>
    <col min="1027" max="1027" width="6.7109375" style="101" customWidth="1"/>
    <col min="1028" max="1029" width="7" style="101" customWidth="1"/>
    <col min="1030" max="1030" width="8.7109375" style="101" customWidth="1"/>
    <col min="1031" max="1031" width="11.42578125" style="101"/>
    <col min="1032" max="1032" width="50" style="101" bestFit="1" customWidth="1"/>
    <col min="1033" max="1042" width="10.7109375" style="101" bestFit="1" customWidth="1"/>
    <col min="1043" max="1258" width="11.42578125" style="101"/>
    <col min="1259" max="1259" width="46.140625" style="101" customWidth="1"/>
    <col min="1260" max="1260" width="0" style="101" hidden="1" customWidth="1"/>
    <col min="1261" max="1264" width="9.5703125" style="101" customWidth="1"/>
    <col min="1265" max="1269" width="9.28515625" style="101" customWidth="1"/>
    <col min="1270" max="1273" width="9.140625" style="101" customWidth="1"/>
    <col min="1274" max="1278" width="9.42578125" style="101" bestFit="1" customWidth="1"/>
    <col min="1279" max="1279" width="9.7109375" style="101" customWidth="1"/>
    <col min="1280" max="1282" width="7" style="101" customWidth="1"/>
    <col min="1283" max="1283" width="6.7109375" style="101" customWidth="1"/>
    <col min="1284" max="1285" width="7" style="101" customWidth="1"/>
    <col min="1286" max="1286" width="8.7109375" style="101" customWidth="1"/>
    <col min="1287" max="1287" width="11.42578125" style="101"/>
    <col min="1288" max="1288" width="50" style="101" bestFit="1" customWidth="1"/>
    <col min="1289" max="1298" width="10.7109375" style="101" bestFit="1" customWidth="1"/>
    <col min="1299" max="1514" width="11.42578125" style="101"/>
    <col min="1515" max="1515" width="46.140625" style="101" customWidth="1"/>
    <col min="1516" max="1516" width="0" style="101" hidden="1" customWidth="1"/>
    <col min="1517" max="1520" width="9.5703125" style="101" customWidth="1"/>
    <col min="1521" max="1525" width="9.28515625" style="101" customWidth="1"/>
    <col min="1526" max="1529" width="9.140625" style="101" customWidth="1"/>
    <col min="1530" max="1534" width="9.42578125" style="101" bestFit="1" customWidth="1"/>
    <col min="1535" max="1535" width="9.7109375" style="101" customWidth="1"/>
    <col min="1536" max="1538" width="7" style="101" customWidth="1"/>
    <col min="1539" max="1539" width="6.7109375" style="101" customWidth="1"/>
    <col min="1540" max="1541" width="7" style="101" customWidth="1"/>
    <col min="1542" max="1542" width="8.7109375" style="101" customWidth="1"/>
    <col min="1543" max="1543" width="11.42578125" style="101"/>
    <col min="1544" max="1544" width="50" style="101" bestFit="1" customWidth="1"/>
    <col min="1545" max="1554" width="10.7109375" style="101" bestFit="1" customWidth="1"/>
    <col min="1555" max="1770" width="11.42578125" style="101"/>
    <col min="1771" max="1771" width="46.140625" style="101" customWidth="1"/>
    <col min="1772" max="1772" width="0" style="101" hidden="1" customWidth="1"/>
    <col min="1773" max="1776" width="9.5703125" style="101" customWidth="1"/>
    <col min="1777" max="1781" width="9.28515625" style="101" customWidth="1"/>
    <col min="1782" max="1785" width="9.140625" style="101" customWidth="1"/>
    <col min="1786" max="1790" width="9.42578125" style="101" bestFit="1" customWidth="1"/>
    <col min="1791" max="1791" width="9.7109375" style="101" customWidth="1"/>
    <col min="1792" max="1794" width="7" style="101" customWidth="1"/>
    <col min="1795" max="1795" width="6.7109375" style="101" customWidth="1"/>
    <col min="1796" max="1797" width="7" style="101" customWidth="1"/>
    <col min="1798" max="1798" width="8.7109375" style="101" customWidth="1"/>
    <col min="1799" max="1799" width="11.42578125" style="101"/>
    <col min="1800" max="1800" width="50" style="101" bestFit="1" customWidth="1"/>
    <col min="1801" max="1810" width="10.7109375" style="101" bestFit="1" customWidth="1"/>
    <col min="1811" max="2026" width="11.42578125" style="101"/>
    <col min="2027" max="2027" width="46.140625" style="101" customWidth="1"/>
    <col min="2028" max="2028" width="0" style="101" hidden="1" customWidth="1"/>
    <col min="2029" max="2032" width="9.5703125" style="101" customWidth="1"/>
    <col min="2033" max="2037" width="9.28515625" style="101" customWidth="1"/>
    <col min="2038" max="2041" width="9.140625" style="101" customWidth="1"/>
    <col min="2042" max="2046" width="9.42578125" style="101" bestFit="1" customWidth="1"/>
    <col min="2047" max="2047" width="9.7109375" style="101" customWidth="1"/>
    <col min="2048" max="2050" width="7" style="101" customWidth="1"/>
    <col min="2051" max="2051" width="6.7109375" style="101" customWidth="1"/>
    <col min="2052" max="2053" width="7" style="101" customWidth="1"/>
    <col min="2054" max="2054" width="8.7109375" style="101" customWidth="1"/>
    <col min="2055" max="2055" width="11.42578125" style="101"/>
    <col min="2056" max="2056" width="50" style="101" bestFit="1" customWidth="1"/>
    <col min="2057" max="2066" width="10.7109375" style="101" bestFit="1" customWidth="1"/>
    <col min="2067" max="2282" width="11.42578125" style="101"/>
    <col min="2283" max="2283" width="46.140625" style="101" customWidth="1"/>
    <col min="2284" max="2284" width="0" style="101" hidden="1" customWidth="1"/>
    <col min="2285" max="2288" width="9.5703125" style="101" customWidth="1"/>
    <col min="2289" max="2293" width="9.28515625" style="101" customWidth="1"/>
    <col min="2294" max="2297" width="9.140625" style="101" customWidth="1"/>
    <col min="2298" max="2302" width="9.42578125" style="101" bestFit="1" customWidth="1"/>
    <col min="2303" max="2303" width="9.7109375" style="101" customWidth="1"/>
    <col min="2304" max="2306" width="7" style="101" customWidth="1"/>
    <col min="2307" max="2307" width="6.7109375" style="101" customWidth="1"/>
    <col min="2308" max="2309" width="7" style="101" customWidth="1"/>
    <col min="2310" max="2310" width="8.7109375" style="101" customWidth="1"/>
    <col min="2311" max="2311" width="11.42578125" style="101"/>
    <col min="2312" max="2312" width="50" style="101" bestFit="1" customWidth="1"/>
    <col min="2313" max="2322" width="10.7109375" style="101" bestFit="1" customWidth="1"/>
    <col min="2323" max="2538" width="11.42578125" style="101"/>
    <col min="2539" max="2539" width="46.140625" style="101" customWidth="1"/>
    <col min="2540" max="2540" width="0" style="101" hidden="1" customWidth="1"/>
    <col min="2541" max="2544" width="9.5703125" style="101" customWidth="1"/>
    <col min="2545" max="2549" width="9.28515625" style="101" customWidth="1"/>
    <col min="2550" max="2553" width="9.140625" style="101" customWidth="1"/>
    <col min="2554" max="2558" width="9.42578125" style="101" bestFit="1" customWidth="1"/>
    <col min="2559" max="2559" width="9.7109375" style="101" customWidth="1"/>
    <col min="2560" max="2562" width="7" style="101" customWidth="1"/>
    <col min="2563" max="2563" width="6.7109375" style="101" customWidth="1"/>
    <col min="2564" max="2565" width="7" style="101" customWidth="1"/>
    <col min="2566" max="2566" width="8.7109375" style="101" customWidth="1"/>
    <col min="2567" max="2567" width="11.42578125" style="101"/>
    <col min="2568" max="2568" width="50" style="101" bestFit="1" customWidth="1"/>
    <col min="2569" max="2578" width="10.7109375" style="101" bestFit="1" customWidth="1"/>
    <col min="2579" max="2794" width="11.42578125" style="101"/>
    <col min="2795" max="2795" width="46.140625" style="101" customWidth="1"/>
    <col min="2796" max="2796" width="0" style="101" hidden="1" customWidth="1"/>
    <col min="2797" max="2800" width="9.5703125" style="101" customWidth="1"/>
    <col min="2801" max="2805" width="9.28515625" style="101" customWidth="1"/>
    <col min="2806" max="2809" width="9.140625" style="101" customWidth="1"/>
    <col min="2810" max="2814" width="9.42578125" style="101" bestFit="1" customWidth="1"/>
    <col min="2815" max="2815" width="9.7109375" style="101" customWidth="1"/>
    <col min="2816" max="2818" width="7" style="101" customWidth="1"/>
    <col min="2819" max="2819" width="6.7109375" style="101" customWidth="1"/>
    <col min="2820" max="2821" width="7" style="101" customWidth="1"/>
    <col min="2822" max="2822" width="8.7109375" style="101" customWidth="1"/>
    <col min="2823" max="2823" width="11.42578125" style="101"/>
    <col min="2824" max="2824" width="50" style="101" bestFit="1" customWidth="1"/>
    <col min="2825" max="2834" width="10.7109375" style="101" bestFit="1" customWidth="1"/>
    <col min="2835" max="3050" width="11.42578125" style="101"/>
    <col min="3051" max="3051" width="46.140625" style="101" customWidth="1"/>
    <col min="3052" max="3052" width="0" style="101" hidden="1" customWidth="1"/>
    <col min="3053" max="3056" width="9.5703125" style="101" customWidth="1"/>
    <col min="3057" max="3061" width="9.28515625" style="101" customWidth="1"/>
    <col min="3062" max="3065" width="9.140625" style="101" customWidth="1"/>
    <col min="3066" max="3070" width="9.42578125" style="101" bestFit="1" customWidth="1"/>
    <col min="3071" max="3071" width="9.7109375" style="101" customWidth="1"/>
    <col min="3072" max="3074" width="7" style="101" customWidth="1"/>
    <col min="3075" max="3075" width="6.7109375" style="101" customWidth="1"/>
    <col min="3076" max="3077" width="7" style="101" customWidth="1"/>
    <col min="3078" max="3078" width="8.7109375" style="101" customWidth="1"/>
    <col min="3079" max="3079" width="11.42578125" style="101"/>
    <col min="3080" max="3080" width="50" style="101" bestFit="1" customWidth="1"/>
    <col min="3081" max="3090" width="10.7109375" style="101" bestFit="1" customWidth="1"/>
    <col min="3091" max="3306" width="11.42578125" style="101"/>
    <col min="3307" max="3307" width="46.140625" style="101" customWidth="1"/>
    <col min="3308" max="3308" width="0" style="101" hidden="1" customWidth="1"/>
    <col min="3309" max="3312" width="9.5703125" style="101" customWidth="1"/>
    <col min="3313" max="3317" width="9.28515625" style="101" customWidth="1"/>
    <col min="3318" max="3321" width="9.140625" style="101" customWidth="1"/>
    <col min="3322" max="3326" width="9.42578125" style="101" bestFit="1" customWidth="1"/>
    <col min="3327" max="3327" width="9.7109375" style="101" customWidth="1"/>
    <col min="3328" max="3330" width="7" style="101" customWidth="1"/>
    <col min="3331" max="3331" width="6.7109375" style="101" customWidth="1"/>
    <col min="3332" max="3333" width="7" style="101" customWidth="1"/>
    <col min="3334" max="3334" width="8.7109375" style="101" customWidth="1"/>
    <col min="3335" max="3335" width="11.42578125" style="101"/>
    <col min="3336" max="3336" width="50" style="101" bestFit="1" customWidth="1"/>
    <col min="3337" max="3346" width="10.7109375" style="101" bestFit="1" customWidth="1"/>
    <col min="3347" max="3562" width="11.42578125" style="101"/>
    <col min="3563" max="3563" width="46.140625" style="101" customWidth="1"/>
    <col min="3564" max="3564" width="0" style="101" hidden="1" customWidth="1"/>
    <col min="3565" max="3568" width="9.5703125" style="101" customWidth="1"/>
    <col min="3569" max="3573" width="9.28515625" style="101" customWidth="1"/>
    <col min="3574" max="3577" width="9.140625" style="101" customWidth="1"/>
    <col min="3578" max="3582" width="9.42578125" style="101" bestFit="1" customWidth="1"/>
    <col min="3583" max="3583" width="9.7109375" style="101" customWidth="1"/>
    <col min="3584" max="3586" width="7" style="101" customWidth="1"/>
    <col min="3587" max="3587" width="6.7109375" style="101" customWidth="1"/>
    <col min="3588" max="3589" width="7" style="101" customWidth="1"/>
    <col min="3590" max="3590" width="8.7109375" style="101" customWidth="1"/>
    <col min="3591" max="3591" width="11.42578125" style="101"/>
    <col min="3592" max="3592" width="50" style="101" bestFit="1" customWidth="1"/>
    <col min="3593" max="3602" width="10.7109375" style="101" bestFit="1" customWidth="1"/>
    <col min="3603" max="3818" width="11.42578125" style="101"/>
    <col min="3819" max="3819" width="46.140625" style="101" customWidth="1"/>
    <col min="3820" max="3820" width="0" style="101" hidden="1" customWidth="1"/>
    <col min="3821" max="3824" width="9.5703125" style="101" customWidth="1"/>
    <col min="3825" max="3829" width="9.28515625" style="101" customWidth="1"/>
    <col min="3830" max="3833" width="9.140625" style="101" customWidth="1"/>
    <col min="3834" max="3838" width="9.42578125" style="101" bestFit="1" customWidth="1"/>
    <col min="3839" max="3839" width="9.7109375" style="101" customWidth="1"/>
    <col min="3840" max="3842" width="7" style="101" customWidth="1"/>
    <col min="3843" max="3843" width="6.7109375" style="101" customWidth="1"/>
    <col min="3844" max="3845" width="7" style="101" customWidth="1"/>
    <col min="3846" max="3846" width="8.7109375" style="101" customWidth="1"/>
    <col min="3847" max="3847" width="11.42578125" style="101"/>
    <col min="3848" max="3848" width="50" style="101" bestFit="1" customWidth="1"/>
    <col min="3849" max="3858" width="10.7109375" style="101" bestFit="1" customWidth="1"/>
    <col min="3859" max="4074" width="11.42578125" style="101"/>
    <col min="4075" max="4075" width="46.140625" style="101" customWidth="1"/>
    <col min="4076" max="4076" width="0" style="101" hidden="1" customWidth="1"/>
    <col min="4077" max="4080" width="9.5703125" style="101" customWidth="1"/>
    <col min="4081" max="4085" width="9.28515625" style="101" customWidth="1"/>
    <col min="4086" max="4089" width="9.140625" style="101" customWidth="1"/>
    <col min="4090" max="4094" width="9.42578125" style="101" bestFit="1" customWidth="1"/>
    <col min="4095" max="4095" width="9.7109375" style="101" customWidth="1"/>
    <col min="4096" max="4098" width="7" style="101" customWidth="1"/>
    <col min="4099" max="4099" width="6.7109375" style="101" customWidth="1"/>
    <col min="4100" max="4101" width="7" style="101" customWidth="1"/>
    <col min="4102" max="4102" width="8.7109375" style="101" customWidth="1"/>
    <col min="4103" max="4103" width="11.42578125" style="101"/>
    <col min="4104" max="4104" width="50" style="101" bestFit="1" customWidth="1"/>
    <col min="4105" max="4114" width="10.7109375" style="101" bestFit="1" customWidth="1"/>
    <col min="4115" max="4330" width="11.42578125" style="101"/>
    <col min="4331" max="4331" width="46.140625" style="101" customWidth="1"/>
    <col min="4332" max="4332" width="0" style="101" hidden="1" customWidth="1"/>
    <col min="4333" max="4336" width="9.5703125" style="101" customWidth="1"/>
    <col min="4337" max="4341" width="9.28515625" style="101" customWidth="1"/>
    <col min="4342" max="4345" width="9.140625" style="101" customWidth="1"/>
    <col min="4346" max="4350" width="9.42578125" style="101" bestFit="1" customWidth="1"/>
    <col min="4351" max="4351" width="9.7109375" style="101" customWidth="1"/>
    <col min="4352" max="4354" width="7" style="101" customWidth="1"/>
    <col min="4355" max="4355" width="6.7109375" style="101" customWidth="1"/>
    <col min="4356" max="4357" width="7" style="101" customWidth="1"/>
    <col min="4358" max="4358" width="8.7109375" style="101" customWidth="1"/>
    <col min="4359" max="4359" width="11.42578125" style="101"/>
    <col min="4360" max="4360" width="50" style="101" bestFit="1" customWidth="1"/>
    <col min="4361" max="4370" width="10.7109375" style="101" bestFit="1" customWidth="1"/>
    <col min="4371" max="4586" width="11.42578125" style="101"/>
    <col min="4587" max="4587" width="46.140625" style="101" customWidth="1"/>
    <col min="4588" max="4588" width="0" style="101" hidden="1" customWidth="1"/>
    <col min="4589" max="4592" width="9.5703125" style="101" customWidth="1"/>
    <col min="4593" max="4597" width="9.28515625" style="101" customWidth="1"/>
    <col min="4598" max="4601" width="9.140625" style="101" customWidth="1"/>
    <col min="4602" max="4606" width="9.42578125" style="101" bestFit="1" customWidth="1"/>
    <col min="4607" max="4607" width="9.7109375" style="101" customWidth="1"/>
    <col min="4608" max="4610" width="7" style="101" customWidth="1"/>
    <col min="4611" max="4611" width="6.7109375" style="101" customWidth="1"/>
    <col min="4612" max="4613" width="7" style="101" customWidth="1"/>
    <col min="4614" max="4614" width="8.7109375" style="101" customWidth="1"/>
    <col min="4615" max="4615" width="11.42578125" style="101"/>
    <col min="4616" max="4616" width="50" style="101" bestFit="1" customWidth="1"/>
    <col min="4617" max="4626" width="10.7109375" style="101" bestFit="1" customWidth="1"/>
    <col min="4627" max="4842" width="11.42578125" style="101"/>
    <col min="4843" max="4843" width="46.140625" style="101" customWidth="1"/>
    <col min="4844" max="4844" width="0" style="101" hidden="1" customWidth="1"/>
    <col min="4845" max="4848" width="9.5703125" style="101" customWidth="1"/>
    <col min="4849" max="4853" width="9.28515625" style="101" customWidth="1"/>
    <col min="4854" max="4857" width="9.140625" style="101" customWidth="1"/>
    <col min="4858" max="4862" width="9.42578125" style="101" bestFit="1" customWidth="1"/>
    <col min="4863" max="4863" width="9.7109375" style="101" customWidth="1"/>
    <col min="4864" max="4866" width="7" style="101" customWidth="1"/>
    <col min="4867" max="4867" width="6.7109375" style="101" customWidth="1"/>
    <col min="4868" max="4869" width="7" style="101" customWidth="1"/>
    <col min="4870" max="4870" width="8.7109375" style="101" customWidth="1"/>
    <col min="4871" max="4871" width="11.42578125" style="101"/>
    <col min="4872" max="4872" width="50" style="101" bestFit="1" customWidth="1"/>
    <col min="4873" max="4882" width="10.7109375" style="101" bestFit="1" customWidth="1"/>
    <col min="4883" max="5098" width="11.42578125" style="101"/>
    <col min="5099" max="5099" width="46.140625" style="101" customWidth="1"/>
    <col min="5100" max="5100" width="0" style="101" hidden="1" customWidth="1"/>
    <col min="5101" max="5104" width="9.5703125" style="101" customWidth="1"/>
    <col min="5105" max="5109" width="9.28515625" style="101" customWidth="1"/>
    <col min="5110" max="5113" width="9.140625" style="101" customWidth="1"/>
    <col min="5114" max="5118" width="9.42578125" style="101" bestFit="1" customWidth="1"/>
    <col min="5119" max="5119" width="9.7109375" style="101" customWidth="1"/>
    <col min="5120" max="5122" width="7" style="101" customWidth="1"/>
    <col min="5123" max="5123" width="6.7109375" style="101" customWidth="1"/>
    <col min="5124" max="5125" width="7" style="101" customWidth="1"/>
    <col min="5126" max="5126" width="8.7109375" style="101" customWidth="1"/>
    <col min="5127" max="5127" width="11.42578125" style="101"/>
    <col min="5128" max="5128" width="50" style="101" bestFit="1" customWidth="1"/>
    <col min="5129" max="5138" width="10.7109375" style="101" bestFit="1" customWidth="1"/>
    <col min="5139" max="5354" width="11.42578125" style="101"/>
    <col min="5355" max="5355" width="46.140625" style="101" customWidth="1"/>
    <col min="5356" max="5356" width="0" style="101" hidden="1" customWidth="1"/>
    <col min="5357" max="5360" width="9.5703125" style="101" customWidth="1"/>
    <col min="5361" max="5365" width="9.28515625" style="101" customWidth="1"/>
    <col min="5366" max="5369" width="9.140625" style="101" customWidth="1"/>
    <col min="5370" max="5374" width="9.42578125" style="101" bestFit="1" customWidth="1"/>
    <col min="5375" max="5375" width="9.7109375" style="101" customWidth="1"/>
    <col min="5376" max="5378" width="7" style="101" customWidth="1"/>
    <col min="5379" max="5379" width="6.7109375" style="101" customWidth="1"/>
    <col min="5380" max="5381" width="7" style="101" customWidth="1"/>
    <col min="5382" max="5382" width="8.7109375" style="101" customWidth="1"/>
    <col min="5383" max="5383" width="11.42578125" style="101"/>
    <col min="5384" max="5384" width="50" style="101" bestFit="1" customWidth="1"/>
    <col min="5385" max="5394" width="10.7109375" style="101" bestFit="1" customWidth="1"/>
    <col min="5395" max="5610" width="11.42578125" style="101"/>
    <col min="5611" max="5611" width="46.140625" style="101" customWidth="1"/>
    <col min="5612" max="5612" width="0" style="101" hidden="1" customWidth="1"/>
    <col min="5613" max="5616" width="9.5703125" style="101" customWidth="1"/>
    <col min="5617" max="5621" width="9.28515625" style="101" customWidth="1"/>
    <col min="5622" max="5625" width="9.140625" style="101" customWidth="1"/>
    <col min="5626" max="5630" width="9.42578125" style="101" bestFit="1" customWidth="1"/>
    <col min="5631" max="5631" width="9.7109375" style="101" customWidth="1"/>
    <col min="5632" max="5634" width="7" style="101" customWidth="1"/>
    <col min="5635" max="5635" width="6.7109375" style="101" customWidth="1"/>
    <col min="5636" max="5637" width="7" style="101" customWidth="1"/>
    <col min="5638" max="5638" width="8.7109375" style="101" customWidth="1"/>
    <col min="5639" max="5639" width="11.42578125" style="101"/>
    <col min="5640" max="5640" width="50" style="101" bestFit="1" customWidth="1"/>
    <col min="5641" max="5650" width="10.7109375" style="101" bestFit="1" customWidth="1"/>
    <col min="5651" max="5866" width="11.42578125" style="101"/>
    <col min="5867" max="5867" width="46.140625" style="101" customWidth="1"/>
    <col min="5868" max="5868" width="0" style="101" hidden="1" customWidth="1"/>
    <col min="5869" max="5872" width="9.5703125" style="101" customWidth="1"/>
    <col min="5873" max="5877" width="9.28515625" style="101" customWidth="1"/>
    <col min="5878" max="5881" width="9.140625" style="101" customWidth="1"/>
    <col min="5882" max="5886" width="9.42578125" style="101" bestFit="1" customWidth="1"/>
    <col min="5887" max="5887" width="9.7109375" style="101" customWidth="1"/>
    <col min="5888" max="5890" width="7" style="101" customWidth="1"/>
    <col min="5891" max="5891" width="6.7109375" style="101" customWidth="1"/>
    <col min="5892" max="5893" width="7" style="101" customWidth="1"/>
    <col min="5894" max="5894" width="8.7109375" style="101" customWidth="1"/>
    <col min="5895" max="5895" width="11.42578125" style="101"/>
    <col min="5896" max="5896" width="50" style="101" bestFit="1" customWidth="1"/>
    <col min="5897" max="5906" width="10.7109375" style="101" bestFit="1" customWidth="1"/>
    <col min="5907" max="6122" width="11.42578125" style="101"/>
    <col min="6123" max="6123" width="46.140625" style="101" customWidth="1"/>
    <col min="6124" max="6124" width="0" style="101" hidden="1" customWidth="1"/>
    <col min="6125" max="6128" width="9.5703125" style="101" customWidth="1"/>
    <col min="6129" max="6133" width="9.28515625" style="101" customWidth="1"/>
    <col min="6134" max="6137" width="9.140625" style="101" customWidth="1"/>
    <col min="6138" max="6142" width="9.42578125" style="101" bestFit="1" customWidth="1"/>
    <col min="6143" max="6143" width="9.7109375" style="101" customWidth="1"/>
    <col min="6144" max="6146" width="7" style="101" customWidth="1"/>
    <col min="6147" max="6147" width="6.7109375" style="101" customWidth="1"/>
    <col min="6148" max="6149" width="7" style="101" customWidth="1"/>
    <col min="6150" max="6150" width="8.7109375" style="101" customWidth="1"/>
    <col min="6151" max="6151" width="11.42578125" style="101"/>
    <col min="6152" max="6152" width="50" style="101" bestFit="1" customWidth="1"/>
    <col min="6153" max="6162" width="10.7109375" style="101" bestFit="1" customWidth="1"/>
    <col min="6163" max="6378" width="11.42578125" style="101"/>
    <col min="6379" max="6379" width="46.140625" style="101" customWidth="1"/>
    <col min="6380" max="6380" width="0" style="101" hidden="1" customWidth="1"/>
    <col min="6381" max="6384" width="9.5703125" style="101" customWidth="1"/>
    <col min="6385" max="6389" width="9.28515625" style="101" customWidth="1"/>
    <col min="6390" max="6393" width="9.140625" style="101" customWidth="1"/>
    <col min="6394" max="6398" width="9.42578125" style="101" bestFit="1" customWidth="1"/>
    <col min="6399" max="6399" width="9.7109375" style="101" customWidth="1"/>
    <col min="6400" max="6402" width="7" style="101" customWidth="1"/>
    <col min="6403" max="6403" width="6.7109375" style="101" customWidth="1"/>
    <col min="6404" max="6405" width="7" style="101" customWidth="1"/>
    <col min="6406" max="6406" width="8.7109375" style="101" customWidth="1"/>
    <col min="6407" max="6407" width="11.42578125" style="101"/>
    <col min="6408" max="6408" width="50" style="101" bestFit="1" customWidth="1"/>
    <col min="6409" max="6418" width="10.7109375" style="101" bestFit="1" customWidth="1"/>
    <col min="6419" max="6634" width="11.42578125" style="101"/>
    <col min="6635" max="6635" width="46.140625" style="101" customWidth="1"/>
    <col min="6636" max="6636" width="0" style="101" hidden="1" customWidth="1"/>
    <col min="6637" max="6640" width="9.5703125" style="101" customWidth="1"/>
    <col min="6641" max="6645" width="9.28515625" style="101" customWidth="1"/>
    <col min="6646" max="6649" width="9.140625" style="101" customWidth="1"/>
    <col min="6650" max="6654" width="9.42578125" style="101" bestFit="1" customWidth="1"/>
    <col min="6655" max="6655" width="9.7109375" style="101" customWidth="1"/>
    <col min="6656" max="6658" width="7" style="101" customWidth="1"/>
    <col min="6659" max="6659" width="6.7109375" style="101" customWidth="1"/>
    <col min="6660" max="6661" width="7" style="101" customWidth="1"/>
    <col min="6662" max="6662" width="8.7109375" style="101" customWidth="1"/>
    <col min="6663" max="6663" width="11.42578125" style="101"/>
    <col min="6664" max="6664" width="50" style="101" bestFit="1" customWidth="1"/>
    <col min="6665" max="6674" width="10.7109375" style="101" bestFit="1" customWidth="1"/>
    <col min="6675" max="6890" width="11.42578125" style="101"/>
    <col min="6891" max="6891" width="46.140625" style="101" customWidth="1"/>
    <col min="6892" max="6892" width="0" style="101" hidden="1" customWidth="1"/>
    <col min="6893" max="6896" width="9.5703125" style="101" customWidth="1"/>
    <col min="6897" max="6901" width="9.28515625" style="101" customWidth="1"/>
    <col min="6902" max="6905" width="9.140625" style="101" customWidth="1"/>
    <col min="6906" max="6910" width="9.42578125" style="101" bestFit="1" customWidth="1"/>
    <col min="6911" max="6911" width="9.7109375" style="101" customWidth="1"/>
    <col min="6912" max="6914" width="7" style="101" customWidth="1"/>
    <col min="6915" max="6915" width="6.7109375" style="101" customWidth="1"/>
    <col min="6916" max="6917" width="7" style="101" customWidth="1"/>
    <col min="6918" max="6918" width="8.7109375" style="101" customWidth="1"/>
    <col min="6919" max="6919" width="11.42578125" style="101"/>
    <col min="6920" max="6920" width="50" style="101" bestFit="1" customWidth="1"/>
    <col min="6921" max="6930" width="10.7109375" style="101" bestFit="1" customWidth="1"/>
    <col min="6931" max="7146" width="11.42578125" style="101"/>
    <col min="7147" max="7147" width="46.140625" style="101" customWidth="1"/>
    <col min="7148" max="7148" width="0" style="101" hidden="1" customWidth="1"/>
    <col min="7149" max="7152" width="9.5703125" style="101" customWidth="1"/>
    <col min="7153" max="7157" width="9.28515625" style="101" customWidth="1"/>
    <col min="7158" max="7161" width="9.140625" style="101" customWidth="1"/>
    <col min="7162" max="7166" width="9.42578125" style="101" bestFit="1" customWidth="1"/>
    <col min="7167" max="7167" width="9.7109375" style="101" customWidth="1"/>
    <col min="7168" max="7170" width="7" style="101" customWidth="1"/>
    <col min="7171" max="7171" width="6.7109375" style="101" customWidth="1"/>
    <col min="7172" max="7173" width="7" style="101" customWidth="1"/>
    <col min="7174" max="7174" width="8.7109375" style="101" customWidth="1"/>
    <col min="7175" max="7175" width="11.42578125" style="101"/>
    <col min="7176" max="7176" width="50" style="101" bestFit="1" customWidth="1"/>
    <col min="7177" max="7186" width="10.7109375" style="101" bestFit="1" customWidth="1"/>
    <col min="7187" max="7402" width="11.42578125" style="101"/>
    <col min="7403" max="7403" width="46.140625" style="101" customWidth="1"/>
    <col min="7404" max="7404" width="0" style="101" hidden="1" customWidth="1"/>
    <col min="7405" max="7408" width="9.5703125" style="101" customWidth="1"/>
    <col min="7409" max="7413" width="9.28515625" style="101" customWidth="1"/>
    <col min="7414" max="7417" width="9.140625" style="101" customWidth="1"/>
    <col min="7418" max="7422" width="9.42578125" style="101" bestFit="1" customWidth="1"/>
    <col min="7423" max="7423" width="9.7109375" style="101" customWidth="1"/>
    <col min="7424" max="7426" width="7" style="101" customWidth="1"/>
    <col min="7427" max="7427" width="6.7109375" style="101" customWidth="1"/>
    <col min="7428" max="7429" width="7" style="101" customWidth="1"/>
    <col min="7430" max="7430" width="8.7109375" style="101" customWidth="1"/>
    <col min="7431" max="7431" width="11.42578125" style="101"/>
    <col min="7432" max="7432" width="50" style="101" bestFit="1" customWidth="1"/>
    <col min="7433" max="7442" width="10.7109375" style="101" bestFit="1" customWidth="1"/>
    <col min="7443" max="7658" width="11.42578125" style="101"/>
    <col min="7659" max="7659" width="46.140625" style="101" customWidth="1"/>
    <col min="7660" max="7660" width="0" style="101" hidden="1" customWidth="1"/>
    <col min="7661" max="7664" width="9.5703125" style="101" customWidth="1"/>
    <col min="7665" max="7669" width="9.28515625" style="101" customWidth="1"/>
    <col min="7670" max="7673" width="9.140625" style="101" customWidth="1"/>
    <col min="7674" max="7678" width="9.42578125" style="101" bestFit="1" customWidth="1"/>
    <col min="7679" max="7679" width="9.7109375" style="101" customWidth="1"/>
    <col min="7680" max="7682" width="7" style="101" customWidth="1"/>
    <col min="7683" max="7683" width="6.7109375" style="101" customWidth="1"/>
    <col min="7684" max="7685" width="7" style="101" customWidth="1"/>
    <col min="7686" max="7686" width="8.7109375" style="101" customWidth="1"/>
    <col min="7687" max="7687" width="11.42578125" style="101"/>
    <col min="7688" max="7688" width="50" style="101" bestFit="1" customWidth="1"/>
    <col min="7689" max="7698" width="10.7109375" style="101" bestFit="1" customWidth="1"/>
    <col min="7699" max="7914" width="11.42578125" style="101"/>
    <col min="7915" max="7915" width="46.140625" style="101" customWidth="1"/>
    <col min="7916" max="7916" width="0" style="101" hidden="1" customWidth="1"/>
    <col min="7917" max="7920" width="9.5703125" style="101" customWidth="1"/>
    <col min="7921" max="7925" width="9.28515625" style="101" customWidth="1"/>
    <col min="7926" max="7929" width="9.140625" style="101" customWidth="1"/>
    <col min="7930" max="7934" width="9.42578125" style="101" bestFit="1" customWidth="1"/>
    <col min="7935" max="7935" width="9.7109375" style="101" customWidth="1"/>
    <col min="7936" max="7938" width="7" style="101" customWidth="1"/>
    <col min="7939" max="7939" width="6.7109375" style="101" customWidth="1"/>
    <col min="7940" max="7941" width="7" style="101" customWidth="1"/>
    <col min="7942" max="7942" width="8.7109375" style="101" customWidth="1"/>
    <col min="7943" max="7943" width="11.42578125" style="101"/>
    <col min="7944" max="7944" width="50" style="101" bestFit="1" customWidth="1"/>
    <col min="7945" max="7954" width="10.7109375" style="101" bestFit="1" customWidth="1"/>
    <col min="7955" max="8170" width="11.42578125" style="101"/>
    <col min="8171" max="8171" width="46.140625" style="101" customWidth="1"/>
    <col min="8172" max="8172" width="0" style="101" hidden="1" customWidth="1"/>
    <col min="8173" max="8176" width="9.5703125" style="101" customWidth="1"/>
    <col min="8177" max="8181" width="9.28515625" style="101" customWidth="1"/>
    <col min="8182" max="8185" width="9.140625" style="101" customWidth="1"/>
    <col min="8186" max="8190" width="9.42578125" style="101" bestFit="1" customWidth="1"/>
    <col min="8191" max="8191" width="9.7109375" style="101" customWidth="1"/>
    <col min="8192" max="8194" width="7" style="101" customWidth="1"/>
    <col min="8195" max="8195" width="6.7109375" style="101" customWidth="1"/>
    <col min="8196" max="8197" width="7" style="101" customWidth="1"/>
    <col min="8198" max="8198" width="8.7109375" style="101" customWidth="1"/>
    <col min="8199" max="8199" width="11.42578125" style="101"/>
    <col min="8200" max="8200" width="50" style="101" bestFit="1" customWidth="1"/>
    <col min="8201" max="8210" width="10.7109375" style="101" bestFit="1" customWidth="1"/>
    <col min="8211" max="8426" width="11.42578125" style="101"/>
    <col min="8427" max="8427" width="46.140625" style="101" customWidth="1"/>
    <col min="8428" max="8428" width="0" style="101" hidden="1" customWidth="1"/>
    <col min="8429" max="8432" width="9.5703125" style="101" customWidth="1"/>
    <col min="8433" max="8437" width="9.28515625" style="101" customWidth="1"/>
    <col min="8438" max="8441" width="9.140625" style="101" customWidth="1"/>
    <col min="8442" max="8446" width="9.42578125" style="101" bestFit="1" customWidth="1"/>
    <col min="8447" max="8447" width="9.7109375" style="101" customWidth="1"/>
    <col min="8448" max="8450" width="7" style="101" customWidth="1"/>
    <col min="8451" max="8451" width="6.7109375" style="101" customWidth="1"/>
    <col min="8452" max="8453" width="7" style="101" customWidth="1"/>
    <col min="8454" max="8454" width="8.7109375" style="101" customWidth="1"/>
    <col min="8455" max="8455" width="11.42578125" style="101"/>
    <col min="8456" max="8456" width="50" style="101" bestFit="1" customWidth="1"/>
    <col min="8457" max="8466" width="10.7109375" style="101" bestFit="1" customWidth="1"/>
    <col min="8467" max="8682" width="11.42578125" style="101"/>
    <col min="8683" max="8683" width="46.140625" style="101" customWidth="1"/>
    <col min="8684" max="8684" width="0" style="101" hidden="1" customWidth="1"/>
    <col min="8685" max="8688" width="9.5703125" style="101" customWidth="1"/>
    <col min="8689" max="8693" width="9.28515625" style="101" customWidth="1"/>
    <col min="8694" max="8697" width="9.140625" style="101" customWidth="1"/>
    <col min="8698" max="8702" width="9.42578125" style="101" bestFit="1" customWidth="1"/>
    <col min="8703" max="8703" width="9.7109375" style="101" customWidth="1"/>
    <col min="8704" max="8706" width="7" style="101" customWidth="1"/>
    <col min="8707" max="8707" width="6.7109375" style="101" customWidth="1"/>
    <col min="8708" max="8709" width="7" style="101" customWidth="1"/>
    <col min="8710" max="8710" width="8.7109375" style="101" customWidth="1"/>
    <col min="8711" max="8711" width="11.42578125" style="101"/>
    <col min="8712" max="8712" width="50" style="101" bestFit="1" customWidth="1"/>
    <col min="8713" max="8722" width="10.7109375" style="101" bestFit="1" customWidth="1"/>
    <col min="8723" max="8938" width="11.42578125" style="101"/>
    <col min="8939" max="8939" width="46.140625" style="101" customWidth="1"/>
    <col min="8940" max="8940" width="0" style="101" hidden="1" customWidth="1"/>
    <col min="8941" max="8944" width="9.5703125" style="101" customWidth="1"/>
    <col min="8945" max="8949" width="9.28515625" style="101" customWidth="1"/>
    <col min="8950" max="8953" width="9.140625" style="101" customWidth="1"/>
    <col min="8954" max="8958" width="9.42578125" style="101" bestFit="1" customWidth="1"/>
    <col min="8959" max="8959" width="9.7109375" style="101" customWidth="1"/>
    <col min="8960" max="8962" width="7" style="101" customWidth="1"/>
    <col min="8963" max="8963" width="6.7109375" style="101" customWidth="1"/>
    <col min="8964" max="8965" width="7" style="101" customWidth="1"/>
    <col min="8966" max="8966" width="8.7109375" style="101" customWidth="1"/>
    <col min="8967" max="8967" width="11.42578125" style="101"/>
    <col min="8968" max="8968" width="50" style="101" bestFit="1" customWidth="1"/>
    <col min="8969" max="8978" width="10.7109375" style="101" bestFit="1" customWidth="1"/>
    <col min="8979" max="9194" width="11.42578125" style="101"/>
    <col min="9195" max="9195" width="46.140625" style="101" customWidth="1"/>
    <col min="9196" max="9196" width="0" style="101" hidden="1" customWidth="1"/>
    <col min="9197" max="9200" width="9.5703125" style="101" customWidth="1"/>
    <col min="9201" max="9205" width="9.28515625" style="101" customWidth="1"/>
    <col min="9206" max="9209" width="9.140625" style="101" customWidth="1"/>
    <col min="9210" max="9214" width="9.42578125" style="101" bestFit="1" customWidth="1"/>
    <col min="9215" max="9215" width="9.7109375" style="101" customWidth="1"/>
    <col min="9216" max="9218" width="7" style="101" customWidth="1"/>
    <col min="9219" max="9219" width="6.7109375" style="101" customWidth="1"/>
    <col min="9220" max="9221" width="7" style="101" customWidth="1"/>
    <col min="9222" max="9222" width="8.7109375" style="101" customWidth="1"/>
    <col min="9223" max="9223" width="11.42578125" style="101"/>
    <col min="9224" max="9224" width="50" style="101" bestFit="1" customWidth="1"/>
    <col min="9225" max="9234" width="10.7109375" style="101" bestFit="1" customWidth="1"/>
    <col min="9235" max="9450" width="11.42578125" style="101"/>
    <col min="9451" max="9451" width="46.140625" style="101" customWidth="1"/>
    <col min="9452" max="9452" width="0" style="101" hidden="1" customWidth="1"/>
    <col min="9453" max="9456" width="9.5703125" style="101" customWidth="1"/>
    <col min="9457" max="9461" width="9.28515625" style="101" customWidth="1"/>
    <col min="9462" max="9465" width="9.140625" style="101" customWidth="1"/>
    <col min="9466" max="9470" width="9.42578125" style="101" bestFit="1" customWidth="1"/>
    <col min="9471" max="9471" width="9.7109375" style="101" customWidth="1"/>
    <col min="9472" max="9474" width="7" style="101" customWidth="1"/>
    <col min="9475" max="9475" width="6.7109375" style="101" customWidth="1"/>
    <col min="9476" max="9477" width="7" style="101" customWidth="1"/>
    <col min="9478" max="9478" width="8.7109375" style="101" customWidth="1"/>
    <col min="9479" max="9479" width="11.42578125" style="101"/>
    <col min="9480" max="9480" width="50" style="101" bestFit="1" customWidth="1"/>
    <col min="9481" max="9490" width="10.7109375" style="101" bestFit="1" customWidth="1"/>
    <col min="9491" max="9706" width="11.42578125" style="101"/>
    <col min="9707" max="9707" width="46.140625" style="101" customWidth="1"/>
    <col min="9708" max="9708" width="0" style="101" hidden="1" customWidth="1"/>
    <col min="9709" max="9712" width="9.5703125" style="101" customWidth="1"/>
    <col min="9713" max="9717" width="9.28515625" style="101" customWidth="1"/>
    <col min="9718" max="9721" width="9.140625" style="101" customWidth="1"/>
    <col min="9722" max="9726" width="9.42578125" style="101" bestFit="1" customWidth="1"/>
    <col min="9727" max="9727" width="9.7109375" style="101" customWidth="1"/>
    <col min="9728" max="9730" width="7" style="101" customWidth="1"/>
    <col min="9731" max="9731" width="6.7109375" style="101" customWidth="1"/>
    <col min="9732" max="9733" width="7" style="101" customWidth="1"/>
    <col min="9734" max="9734" width="8.7109375" style="101" customWidth="1"/>
    <col min="9735" max="9735" width="11.42578125" style="101"/>
    <col min="9736" max="9736" width="50" style="101" bestFit="1" customWidth="1"/>
    <col min="9737" max="9746" width="10.7109375" style="101" bestFit="1" customWidth="1"/>
    <col min="9747" max="9962" width="11.42578125" style="101"/>
    <col min="9963" max="9963" width="46.140625" style="101" customWidth="1"/>
    <col min="9964" max="9964" width="0" style="101" hidden="1" customWidth="1"/>
    <col min="9965" max="9968" width="9.5703125" style="101" customWidth="1"/>
    <col min="9969" max="9973" width="9.28515625" style="101" customWidth="1"/>
    <col min="9974" max="9977" width="9.140625" style="101" customWidth="1"/>
    <col min="9978" max="9982" width="9.42578125" style="101" bestFit="1" customWidth="1"/>
    <col min="9983" max="9983" width="9.7109375" style="101" customWidth="1"/>
    <col min="9984" max="9986" width="7" style="101" customWidth="1"/>
    <col min="9987" max="9987" width="6.7109375" style="101" customWidth="1"/>
    <col min="9988" max="9989" width="7" style="101" customWidth="1"/>
    <col min="9990" max="9990" width="8.7109375" style="101" customWidth="1"/>
    <col min="9991" max="9991" width="11.42578125" style="101"/>
    <col min="9992" max="9992" width="50" style="101" bestFit="1" customWidth="1"/>
    <col min="9993" max="10002" width="10.7109375" style="101" bestFit="1" customWidth="1"/>
    <col min="10003" max="10218" width="11.42578125" style="101"/>
    <col min="10219" max="10219" width="46.140625" style="101" customWidth="1"/>
    <col min="10220" max="10220" width="0" style="101" hidden="1" customWidth="1"/>
    <col min="10221" max="10224" width="9.5703125" style="101" customWidth="1"/>
    <col min="10225" max="10229" width="9.28515625" style="101" customWidth="1"/>
    <col min="10230" max="10233" width="9.140625" style="101" customWidth="1"/>
    <col min="10234" max="10238" width="9.42578125" style="101" bestFit="1" customWidth="1"/>
    <col min="10239" max="10239" width="9.7109375" style="101" customWidth="1"/>
    <col min="10240" max="10242" width="7" style="101" customWidth="1"/>
    <col min="10243" max="10243" width="6.7109375" style="101" customWidth="1"/>
    <col min="10244" max="10245" width="7" style="101" customWidth="1"/>
    <col min="10246" max="10246" width="8.7109375" style="101" customWidth="1"/>
    <col min="10247" max="10247" width="11.42578125" style="101"/>
    <col min="10248" max="10248" width="50" style="101" bestFit="1" customWidth="1"/>
    <col min="10249" max="10258" width="10.7109375" style="101" bestFit="1" customWidth="1"/>
    <col min="10259" max="10474" width="11.42578125" style="101"/>
    <col min="10475" max="10475" width="46.140625" style="101" customWidth="1"/>
    <col min="10476" max="10476" width="0" style="101" hidden="1" customWidth="1"/>
    <col min="10477" max="10480" width="9.5703125" style="101" customWidth="1"/>
    <col min="10481" max="10485" width="9.28515625" style="101" customWidth="1"/>
    <col min="10486" max="10489" width="9.140625" style="101" customWidth="1"/>
    <col min="10490" max="10494" width="9.42578125" style="101" bestFit="1" customWidth="1"/>
    <col min="10495" max="10495" width="9.7109375" style="101" customWidth="1"/>
    <col min="10496" max="10498" width="7" style="101" customWidth="1"/>
    <col min="10499" max="10499" width="6.7109375" style="101" customWidth="1"/>
    <col min="10500" max="10501" width="7" style="101" customWidth="1"/>
    <col min="10502" max="10502" width="8.7109375" style="101" customWidth="1"/>
    <col min="10503" max="10503" width="11.42578125" style="101"/>
    <col min="10504" max="10504" width="50" style="101" bestFit="1" customWidth="1"/>
    <col min="10505" max="10514" width="10.7109375" style="101" bestFit="1" customWidth="1"/>
    <col min="10515" max="10730" width="11.42578125" style="101"/>
    <col min="10731" max="10731" width="46.140625" style="101" customWidth="1"/>
    <col min="10732" max="10732" width="0" style="101" hidden="1" customWidth="1"/>
    <col min="10733" max="10736" width="9.5703125" style="101" customWidth="1"/>
    <col min="10737" max="10741" width="9.28515625" style="101" customWidth="1"/>
    <col min="10742" max="10745" width="9.140625" style="101" customWidth="1"/>
    <col min="10746" max="10750" width="9.42578125" style="101" bestFit="1" customWidth="1"/>
    <col min="10751" max="10751" width="9.7109375" style="101" customWidth="1"/>
    <col min="10752" max="10754" width="7" style="101" customWidth="1"/>
    <col min="10755" max="10755" width="6.7109375" style="101" customWidth="1"/>
    <col min="10756" max="10757" width="7" style="101" customWidth="1"/>
    <col min="10758" max="10758" width="8.7109375" style="101" customWidth="1"/>
    <col min="10759" max="10759" width="11.42578125" style="101"/>
    <col min="10760" max="10760" width="50" style="101" bestFit="1" customWidth="1"/>
    <col min="10761" max="10770" width="10.7109375" style="101" bestFit="1" customWidth="1"/>
    <col min="10771" max="10986" width="11.42578125" style="101"/>
    <col min="10987" max="10987" width="46.140625" style="101" customWidth="1"/>
    <col min="10988" max="10988" width="0" style="101" hidden="1" customWidth="1"/>
    <col min="10989" max="10992" width="9.5703125" style="101" customWidth="1"/>
    <col min="10993" max="10997" width="9.28515625" style="101" customWidth="1"/>
    <col min="10998" max="11001" width="9.140625" style="101" customWidth="1"/>
    <col min="11002" max="11006" width="9.42578125" style="101" bestFit="1" customWidth="1"/>
    <col min="11007" max="11007" width="9.7109375" style="101" customWidth="1"/>
    <col min="11008" max="11010" width="7" style="101" customWidth="1"/>
    <col min="11011" max="11011" width="6.7109375" style="101" customWidth="1"/>
    <col min="11012" max="11013" width="7" style="101" customWidth="1"/>
    <col min="11014" max="11014" width="8.7109375" style="101" customWidth="1"/>
    <col min="11015" max="11015" width="11.42578125" style="101"/>
    <col min="11016" max="11016" width="50" style="101" bestFit="1" customWidth="1"/>
    <col min="11017" max="11026" width="10.7109375" style="101" bestFit="1" customWidth="1"/>
    <col min="11027" max="11242" width="11.42578125" style="101"/>
    <col min="11243" max="11243" width="46.140625" style="101" customWidth="1"/>
    <col min="11244" max="11244" width="0" style="101" hidden="1" customWidth="1"/>
    <col min="11245" max="11248" width="9.5703125" style="101" customWidth="1"/>
    <col min="11249" max="11253" width="9.28515625" style="101" customWidth="1"/>
    <col min="11254" max="11257" width="9.140625" style="101" customWidth="1"/>
    <col min="11258" max="11262" width="9.42578125" style="101" bestFit="1" customWidth="1"/>
    <col min="11263" max="11263" width="9.7109375" style="101" customWidth="1"/>
    <col min="11264" max="11266" width="7" style="101" customWidth="1"/>
    <col min="11267" max="11267" width="6.7109375" style="101" customWidth="1"/>
    <col min="11268" max="11269" width="7" style="101" customWidth="1"/>
    <col min="11270" max="11270" width="8.7109375" style="101" customWidth="1"/>
    <col min="11271" max="11271" width="11.42578125" style="101"/>
    <col min="11272" max="11272" width="50" style="101" bestFit="1" customWidth="1"/>
    <col min="11273" max="11282" width="10.7109375" style="101" bestFit="1" customWidth="1"/>
    <col min="11283" max="11498" width="11.42578125" style="101"/>
    <col min="11499" max="11499" width="46.140625" style="101" customWidth="1"/>
    <col min="11500" max="11500" width="0" style="101" hidden="1" customWidth="1"/>
    <col min="11501" max="11504" width="9.5703125" style="101" customWidth="1"/>
    <col min="11505" max="11509" width="9.28515625" style="101" customWidth="1"/>
    <col min="11510" max="11513" width="9.140625" style="101" customWidth="1"/>
    <col min="11514" max="11518" width="9.42578125" style="101" bestFit="1" customWidth="1"/>
    <col min="11519" max="11519" width="9.7109375" style="101" customWidth="1"/>
    <col min="11520" max="11522" width="7" style="101" customWidth="1"/>
    <col min="11523" max="11523" width="6.7109375" style="101" customWidth="1"/>
    <col min="11524" max="11525" width="7" style="101" customWidth="1"/>
    <col min="11526" max="11526" width="8.7109375" style="101" customWidth="1"/>
    <col min="11527" max="11527" width="11.42578125" style="101"/>
    <col min="11528" max="11528" width="50" style="101" bestFit="1" customWidth="1"/>
    <col min="11529" max="11538" width="10.7109375" style="101" bestFit="1" customWidth="1"/>
    <col min="11539" max="11754" width="11.42578125" style="101"/>
    <col min="11755" max="11755" width="46.140625" style="101" customWidth="1"/>
    <col min="11756" max="11756" width="0" style="101" hidden="1" customWidth="1"/>
    <col min="11757" max="11760" width="9.5703125" style="101" customWidth="1"/>
    <col min="11761" max="11765" width="9.28515625" style="101" customWidth="1"/>
    <col min="11766" max="11769" width="9.140625" style="101" customWidth="1"/>
    <col min="11770" max="11774" width="9.42578125" style="101" bestFit="1" customWidth="1"/>
    <col min="11775" max="11775" width="9.7109375" style="101" customWidth="1"/>
    <col min="11776" max="11778" width="7" style="101" customWidth="1"/>
    <col min="11779" max="11779" width="6.7109375" style="101" customWidth="1"/>
    <col min="11780" max="11781" width="7" style="101" customWidth="1"/>
    <col min="11782" max="11782" width="8.7109375" style="101" customWidth="1"/>
    <col min="11783" max="11783" width="11.42578125" style="101"/>
    <col min="11784" max="11784" width="50" style="101" bestFit="1" customWidth="1"/>
    <col min="11785" max="11794" width="10.7109375" style="101" bestFit="1" customWidth="1"/>
    <col min="11795" max="12010" width="11.42578125" style="101"/>
    <col min="12011" max="12011" width="46.140625" style="101" customWidth="1"/>
    <col min="12012" max="12012" width="0" style="101" hidden="1" customWidth="1"/>
    <col min="12013" max="12016" width="9.5703125" style="101" customWidth="1"/>
    <col min="12017" max="12021" width="9.28515625" style="101" customWidth="1"/>
    <col min="12022" max="12025" width="9.140625" style="101" customWidth="1"/>
    <col min="12026" max="12030" width="9.42578125" style="101" bestFit="1" customWidth="1"/>
    <col min="12031" max="12031" width="9.7109375" style="101" customWidth="1"/>
    <col min="12032" max="12034" width="7" style="101" customWidth="1"/>
    <col min="12035" max="12035" width="6.7109375" style="101" customWidth="1"/>
    <col min="12036" max="12037" width="7" style="101" customWidth="1"/>
    <col min="12038" max="12038" width="8.7109375" style="101" customWidth="1"/>
    <col min="12039" max="12039" width="11.42578125" style="101"/>
    <col min="12040" max="12040" width="50" style="101" bestFit="1" customWidth="1"/>
    <col min="12041" max="12050" width="10.7109375" style="101" bestFit="1" customWidth="1"/>
    <col min="12051" max="12266" width="11.42578125" style="101"/>
    <col min="12267" max="12267" width="46.140625" style="101" customWidth="1"/>
    <col min="12268" max="12268" width="0" style="101" hidden="1" customWidth="1"/>
    <col min="12269" max="12272" width="9.5703125" style="101" customWidth="1"/>
    <col min="12273" max="12277" width="9.28515625" style="101" customWidth="1"/>
    <col min="12278" max="12281" width="9.140625" style="101" customWidth="1"/>
    <col min="12282" max="12286" width="9.42578125" style="101" bestFit="1" customWidth="1"/>
    <col min="12287" max="12287" width="9.7109375" style="101" customWidth="1"/>
    <col min="12288" max="12290" width="7" style="101" customWidth="1"/>
    <col min="12291" max="12291" width="6.7109375" style="101" customWidth="1"/>
    <col min="12292" max="12293" width="7" style="101" customWidth="1"/>
    <col min="12294" max="12294" width="8.7109375" style="101" customWidth="1"/>
    <col min="12295" max="12295" width="11.42578125" style="101"/>
    <col min="12296" max="12296" width="50" style="101" bestFit="1" customWidth="1"/>
    <col min="12297" max="12306" width="10.7109375" style="101" bestFit="1" customWidth="1"/>
    <col min="12307" max="12522" width="11.42578125" style="101"/>
    <col min="12523" max="12523" width="46.140625" style="101" customWidth="1"/>
    <col min="12524" max="12524" width="0" style="101" hidden="1" customWidth="1"/>
    <col min="12525" max="12528" width="9.5703125" style="101" customWidth="1"/>
    <col min="12529" max="12533" width="9.28515625" style="101" customWidth="1"/>
    <col min="12534" max="12537" width="9.140625" style="101" customWidth="1"/>
    <col min="12538" max="12542" width="9.42578125" style="101" bestFit="1" customWidth="1"/>
    <col min="12543" max="12543" width="9.7109375" style="101" customWidth="1"/>
    <col min="12544" max="12546" width="7" style="101" customWidth="1"/>
    <col min="12547" max="12547" width="6.7109375" style="101" customWidth="1"/>
    <col min="12548" max="12549" width="7" style="101" customWidth="1"/>
    <col min="12550" max="12550" width="8.7109375" style="101" customWidth="1"/>
    <col min="12551" max="12551" width="11.42578125" style="101"/>
    <col min="12552" max="12552" width="50" style="101" bestFit="1" customWidth="1"/>
    <col min="12553" max="12562" width="10.7109375" style="101" bestFit="1" customWidth="1"/>
    <col min="12563" max="12778" width="11.42578125" style="101"/>
    <col min="12779" max="12779" width="46.140625" style="101" customWidth="1"/>
    <col min="12780" max="12780" width="0" style="101" hidden="1" customWidth="1"/>
    <col min="12781" max="12784" width="9.5703125" style="101" customWidth="1"/>
    <col min="12785" max="12789" width="9.28515625" style="101" customWidth="1"/>
    <col min="12790" max="12793" width="9.140625" style="101" customWidth="1"/>
    <col min="12794" max="12798" width="9.42578125" style="101" bestFit="1" customWidth="1"/>
    <col min="12799" max="12799" width="9.7109375" style="101" customWidth="1"/>
    <col min="12800" max="12802" width="7" style="101" customWidth="1"/>
    <col min="12803" max="12803" width="6.7109375" style="101" customWidth="1"/>
    <col min="12804" max="12805" width="7" style="101" customWidth="1"/>
    <col min="12806" max="12806" width="8.7109375" style="101" customWidth="1"/>
    <col min="12807" max="12807" width="11.42578125" style="101"/>
    <col min="12808" max="12808" width="50" style="101" bestFit="1" customWidth="1"/>
    <col min="12809" max="12818" width="10.7109375" style="101" bestFit="1" customWidth="1"/>
    <col min="12819" max="13034" width="11.42578125" style="101"/>
    <col min="13035" max="13035" width="46.140625" style="101" customWidth="1"/>
    <col min="13036" max="13036" width="0" style="101" hidden="1" customWidth="1"/>
    <col min="13037" max="13040" width="9.5703125" style="101" customWidth="1"/>
    <col min="13041" max="13045" width="9.28515625" style="101" customWidth="1"/>
    <col min="13046" max="13049" width="9.140625" style="101" customWidth="1"/>
    <col min="13050" max="13054" width="9.42578125" style="101" bestFit="1" customWidth="1"/>
    <col min="13055" max="13055" width="9.7109375" style="101" customWidth="1"/>
    <col min="13056" max="13058" width="7" style="101" customWidth="1"/>
    <col min="13059" max="13059" width="6.7109375" style="101" customWidth="1"/>
    <col min="13060" max="13061" width="7" style="101" customWidth="1"/>
    <col min="13062" max="13062" width="8.7109375" style="101" customWidth="1"/>
    <col min="13063" max="13063" width="11.42578125" style="101"/>
    <col min="13064" max="13064" width="50" style="101" bestFit="1" customWidth="1"/>
    <col min="13065" max="13074" width="10.7109375" style="101" bestFit="1" customWidth="1"/>
    <col min="13075" max="13290" width="11.42578125" style="101"/>
    <col min="13291" max="13291" width="46.140625" style="101" customWidth="1"/>
    <col min="13292" max="13292" width="0" style="101" hidden="1" customWidth="1"/>
    <col min="13293" max="13296" width="9.5703125" style="101" customWidth="1"/>
    <col min="13297" max="13301" width="9.28515625" style="101" customWidth="1"/>
    <col min="13302" max="13305" width="9.140625" style="101" customWidth="1"/>
    <col min="13306" max="13310" width="9.42578125" style="101" bestFit="1" customWidth="1"/>
    <col min="13311" max="13311" width="9.7109375" style="101" customWidth="1"/>
    <col min="13312" max="13314" width="7" style="101" customWidth="1"/>
    <col min="13315" max="13315" width="6.7109375" style="101" customWidth="1"/>
    <col min="13316" max="13317" width="7" style="101" customWidth="1"/>
    <col min="13318" max="13318" width="8.7109375" style="101" customWidth="1"/>
    <col min="13319" max="13319" width="11.42578125" style="101"/>
    <col min="13320" max="13320" width="50" style="101" bestFit="1" customWidth="1"/>
    <col min="13321" max="13330" width="10.7109375" style="101" bestFit="1" customWidth="1"/>
    <col min="13331" max="13546" width="11.42578125" style="101"/>
    <col min="13547" max="13547" width="46.140625" style="101" customWidth="1"/>
    <col min="13548" max="13548" width="0" style="101" hidden="1" customWidth="1"/>
    <col min="13549" max="13552" width="9.5703125" style="101" customWidth="1"/>
    <col min="13553" max="13557" width="9.28515625" style="101" customWidth="1"/>
    <col min="13558" max="13561" width="9.140625" style="101" customWidth="1"/>
    <col min="13562" max="13566" width="9.42578125" style="101" bestFit="1" customWidth="1"/>
    <col min="13567" max="13567" width="9.7109375" style="101" customWidth="1"/>
    <col min="13568" max="13570" width="7" style="101" customWidth="1"/>
    <col min="13571" max="13571" width="6.7109375" style="101" customWidth="1"/>
    <col min="13572" max="13573" width="7" style="101" customWidth="1"/>
    <col min="13574" max="13574" width="8.7109375" style="101" customWidth="1"/>
    <col min="13575" max="13575" width="11.42578125" style="101"/>
    <col min="13576" max="13576" width="50" style="101" bestFit="1" customWidth="1"/>
    <col min="13577" max="13586" width="10.7109375" style="101" bestFit="1" customWidth="1"/>
    <col min="13587" max="13802" width="11.42578125" style="101"/>
    <col min="13803" max="13803" width="46.140625" style="101" customWidth="1"/>
    <col min="13804" max="13804" width="0" style="101" hidden="1" customWidth="1"/>
    <col min="13805" max="13808" width="9.5703125" style="101" customWidth="1"/>
    <col min="13809" max="13813" width="9.28515625" style="101" customWidth="1"/>
    <col min="13814" max="13817" width="9.140625" style="101" customWidth="1"/>
    <col min="13818" max="13822" width="9.42578125" style="101" bestFit="1" customWidth="1"/>
    <col min="13823" max="13823" width="9.7109375" style="101" customWidth="1"/>
    <col min="13824" max="13826" width="7" style="101" customWidth="1"/>
    <col min="13827" max="13827" width="6.7109375" style="101" customWidth="1"/>
    <col min="13828" max="13829" width="7" style="101" customWidth="1"/>
    <col min="13830" max="13830" width="8.7109375" style="101" customWidth="1"/>
    <col min="13831" max="13831" width="11.42578125" style="101"/>
    <col min="13832" max="13832" width="50" style="101" bestFit="1" customWidth="1"/>
    <col min="13833" max="13842" width="10.7109375" style="101" bestFit="1" customWidth="1"/>
    <col min="13843" max="14058" width="11.42578125" style="101"/>
    <col min="14059" max="14059" width="46.140625" style="101" customWidth="1"/>
    <col min="14060" max="14060" width="0" style="101" hidden="1" customWidth="1"/>
    <col min="14061" max="14064" width="9.5703125" style="101" customWidth="1"/>
    <col min="14065" max="14069" width="9.28515625" style="101" customWidth="1"/>
    <col min="14070" max="14073" width="9.140625" style="101" customWidth="1"/>
    <col min="14074" max="14078" width="9.42578125" style="101" bestFit="1" customWidth="1"/>
    <col min="14079" max="14079" width="9.7109375" style="101" customWidth="1"/>
    <col min="14080" max="14082" width="7" style="101" customWidth="1"/>
    <col min="14083" max="14083" width="6.7109375" style="101" customWidth="1"/>
    <col min="14084" max="14085" width="7" style="101" customWidth="1"/>
    <col min="14086" max="14086" width="8.7109375" style="101" customWidth="1"/>
    <col min="14087" max="14087" width="11.42578125" style="101"/>
    <col min="14088" max="14088" width="50" style="101" bestFit="1" customWidth="1"/>
    <col min="14089" max="14098" width="10.7109375" style="101" bestFit="1" customWidth="1"/>
    <col min="14099" max="14314" width="11.42578125" style="101"/>
    <col min="14315" max="14315" width="46.140625" style="101" customWidth="1"/>
    <col min="14316" max="14316" width="0" style="101" hidden="1" customWidth="1"/>
    <col min="14317" max="14320" width="9.5703125" style="101" customWidth="1"/>
    <col min="14321" max="14325" width="9.28515625" style="101" customWidth="1"/>
    <col min="14326" max="14329" width="9.140625" style="101" customWidth="1"/>
    <col min="14330" max="14334" width="9.42578125" style="101" bestFit="1" customWidth="1"/>
    <col min="14335" max="14335" width="9.7109375" style="101" customWidth="1"/>
    <col min="14336" max="14338" width="7" style="101" customWidth="1"/>
    <col min="14339" max="14339" width="6.7109375" style="101" customWidth="1"/>
    <col min="14340" max="14341" width="7" style="101" customWidth="1"/>
    <col min="14342" max="14342" width="8.7109375" style="101" customWidth="1"/>
    <col min="14343" max="14343" width="11.42578125" style="101"/>
    <col min="14344" max="14344" width="50" style="101" bestFit="1" customWidth="1"/>
    <col min="14345" max="14354" width="10.7109375" style="101" bestFit="1" customWidth="1"/>
    <col min="14355" max="14570" width="11.42578125" style="101"/>
    <col min="14571" max="14571" width="46.140625" style="101" customWidth="1"/>
    <col min="14572" max="14572" width="0" style="101" hidden="1" customWidth="1"/>
    <col min="14573" max="14576" width="9.5703125" style="101" customWidth="1"/>
    <col min="14577" max="14581" width="9.28515625" style="101" customWidth="1"/>
    <col min="14582" max="14585" width="9.140625" style="101" customWidth="1"/>
    <col min="14586" max="14590" width="9.42578125" style="101" bestFit="1" customWidth="1"/>
    <col min="14591" max="14591" width="9.7109375" style="101" customWidth="1"/>
    <col min="14592" max="14594" width="7" style="101" customWidth="1"/>
    <col min="14595" max="14595" width="6.7109375" style="101" customWidth="1"/>
    <col min="14596" max="14597" width="7" style="101" customWidth="1"/>
    <col min="14598" max="14598" width="8.7109375" style="101" customWidth="1"/>
    <col min="14599" max="14599" width="11.42578125" style="101"/>
    <col min="14600" max="14600" width="50" style="101" bestFit="1" customWidth="1"/>
    <col min="14601" max="14610" width="10.7109375" style="101" bestFit="1" customWidth="1"/>
    <col min="14611" max="14826" width="11.42578125" style="101"/>
    <col min="14827" max="14827" width="46.140625" style="101" customWidth="1"/>
    <col min="14828" max="14828" width="0" style="101" hidden="1" customWidth="1"/>
    <col min="14829" max="14832" width="9.5703125" style="101" customWidth="1"/>
    <col min="14833" max="14837" width="9.28515625" style="101" customWidth="1"/>
    <col min="14838" max="14841" width="9.140625" style="101" customWidth="1"/>
    <col min="14842" max="14846" width="9.42578125" style="101" bestFit="1" customWidth="1"/>
    <col min="14847" max="14847" width="9.7109375" style="101" customWidth="1"/>
    <col min="14848" max="14850" width="7" style="101" customWidth="1"/>
    <col min="14851" max="14851" width="6.7109375" style="101" customWidth="1"/>
    <col min="14852" max="14853" width="7" style="101" customWidth="1"/>
    <col min="14854" max="14854" width="8.7109375" style="101" customWidth="1"/>
    <col min="14855" max="14855" width="11.42578125" style="101"/>
    <col min="14856" max="14856" width="50" style="101" bestFit="1" customWidth="1"/>
    <col min="14857" max="14866" width="10.7109375" style="101" bestFit="1" customWidth="1"/>
    <col min="14867" max="15082" width="11.42578125" style="101"/>
    <col min="15083" max="15083" width="46.140625" style="101" customWidth="1"/>
    <col min="15084" max="15084" width="0" style="101" hidden="1" customWidth="1"/>
    <col min="15085" max="15088" width="9.5703125" style="101" customWidth="1"/>
    <col min="15089" max="15093" width="9.28515625" style="101" customWidth="1"/>
    <col min="15094" max="15097" width="9.140625" style="101" customWidth="1"/>
    <col min="15098" max="15102" width="9.42578125" style="101" bestFit="1" customWidth="1"/>
    <col min="15103" max="15103" width="9.7109375" style="101" customWidth="1"/>
    <col min="15104" max="15106" width="7" style="101" customWidth="1"/>
    <col min="15107" max="15107" width="6.7109375" style="101" customWidth="1"/>
    <col min="15108" max="15109" width="7" style="101" customWidth="1"/>
    <col min="15110" max="15110" width="8.7109375" style="101" customWidth="1"/>
    <col min="15111" max="15111" width="11.42578125" style="101"/>
    <col min="15112" max="15112" width="50" style="101" bestFit="1" customWidth="1"/>
    <col min="15113" max="15122" width="10.7109375" style="101" bestFit="1" customWidth="1"/>
    <col min="15123" max="15338" width="11.42578125" style="101"/>
    <col min="15339" max="15339" width="46.140625" style="101" customWidth="1"/>
    <col min="15340" max="15340" width="0" style="101" hidden="1" customWidth="1"/>
    <col min="15341" max="15344" width="9.5703125" style="101" customWidth="1"/>
    <col min="15345" max="15349" width="9.28515625" style="101" customWidth="1"/>
    <col min="15350" max="15353" width="9.140625" style="101" customWidth="1"/>
    <col min="15354" max="15358" width="9.42578125" style="101" bestFit="1" customWidth="1"/>
    <col min="15359" max="15359" width="9.7109375" style="101" customWidth="1"/>
    <col min="15360" max="15362" width="7" style="101" customWidth="1"/>
    <col min="15363" max="15363" width="6.7109375" style="101" customWidth="1"/>
    <col min="15364" max="15365" width="7" style="101" customWidth="1"/>
    <col min="15366" max="15366" width="8.7109375" style="101" customWidth="1"/>
    <col min="15367" max="15367" width="11.42578125" style="101"/>
    <col min="15368" max="15368" width="50" style="101" bestFit="1" customWidth="1"/>
    <col min="15369" max="15378" width="10.7109375" style="101" bestFit="1" customWidth="1"/>
    <col min="15379" max="15594" width="11.42578125" style="101"/>
    <col min="15595" max="15595" width="46.140625" style="101" customWidth="1"/>
    <col min="15596" max="15596" width="0" style="101" hidden="1" customWidth="1"/>
    <col min="15597" max="15600" width="9.5703125" style="101" customWidth="1"/>
    <col min="15601" max="15605" width="9.28515625" style="101" customWidth="1"/>
    <col min="15606" max="15609" width="9.140625" style="101" customWidth="1"/>
    <col min="15610" max="15614" width="9.42578125" style="101" bestFit="1" customWidth="1"/>
    <col min="15615" max="15615" width="9.7109375" style="101" customWidth="1"/>
    <col min="15616" max="15618" width="7" style="101" customWidth="1"/>
    <col min="15619" max="15619" width="6.7109375" style="101" customWidth="1"/>
    <col min="15620" max="15621" width="7" style="101" customWidth="1"/>
    <col min="15622" max="15622" width="8.7109375" style="101" customWidth="1"/>
    <col min="15623" max="15623" width="11.42578125" style="101"/>
    <col min="15624" max="15624" width="50" style="101" bestFit="1" customWidth="1"/>
    <col min="15625" max="15634" width="10.7109375" style="101" bestFit="1" customWidth="1"/>
    <col min="15635" max="15850" width="11.42578125" style="101"/>
    <col min="15851" max="15851" width="46.140625" style="101" customWidth="1"/>
    <col min="15852" max="15852" width="0" style="101" hidden="1" customWidth="1"/>
    <col min="15853" max="15856" width="9.5703125" style="101" customWidth="1"/>
    <col min="15857" max="15861" width="9.28515625" style="101" customWidth="1"/>
    <col min="15862" max="15865" width="9.140625" style="101" customWidth="1"/>
    <col min="15866" max="15870" width="9.42578125" style="101" bestFit="1" customWidth="1"/>
    <col min="15871" max="15871" width="9.7109375" style="101" customWidth="1"/>
    <col min="15872" max="15874" width="7" style="101" customWidth="1"/>
    <col min="15875" max="15875" width="6.7109375" style="101" customWidth="1"/>
    <col min="15876" max="15877" width="7" style="101" customWidth="1"/>
    <col min="15878" max="15878" width="8.7109375" style="101" customWidth="1"/>
    <col min="15879" max="15879" width="11.42578125" style="101"/>
    <col min="15880" max="15880" width="50" style="101" bestFit="1" customWidth="1"/>
    <col min="15881" max="15890" width="10.7109375" style="101" bestFit="1" customWidth="1"/>
    <col min="15891" max="16106" width="11.42578125" style="101"/>
    <col min="16107" max="16107" width="46.140625" style="101" customWidth="1"/>
    <col min="16108" max="16108" width="0" style="101" hidden="1" customWidth="1"/>
    <col min="16109" max="16112" width="9.5703125" style="101" customWidth="1"/>
    <col min="16113" max="16117" width="9.28515625" style="101" customWidth="1"/>
    <col min="16118" max="16121" width="9.140625" style="101" customWidth="1"/>
    <col min="16122" max="16126" width="9.42578125" style="101" bestFit="1" customWidth="1"/>
    <col min="16127" max="16127" width="9.7109375" style="101" customWidth="1"/>
    <col min="16128" max="16130" width="7" style="101" customWidth="1"/>
    <col min="16131" max="16131" width="6.7109375" style="101" customWidth="1"/>
    <col min="16132" max="16133" width="7" style="101" customWidth="1"/>
    <col min="16134" max="16134" width="8.7109375" style="101" customWidth="1"/>
    <col min="16135" max="16135" width="11.42578125" style="101"/>
    <col min="16136" max="16136" width="50" style="101" bestFit="1" customWidth="1"/>
    <col min="16137" max="16146" width="10.7109375" style="101" bestFit="1" customWidth="1"/>
    <col min="16147" max="16384" width="11.42578125" style="101"/>
  </cols>
  <sheetData>
    <row r="1" spans="1:19" s="102" customFormat="1">
      <c r="A1" s="98" t="s">
        <v>283</v>
      </c>
      <c r="B1" s="99"/>
      <c r="C1" s="100"/>
      <c r="D1" s="100"/>
      <c r="E1" s="100"/>
      <c r="F1" s="123" t="s">
        <v>284</v>
      </c>
      <c r="G1" s="123" t="s">
        <v>285</v>
      </c>
      <c r="H1" s="123" t="s">
        <v>286</v>
      </c>
      <c r="I1" s="123" t="s">
        <v>334</v>
      </c>
      <c r="J1" s="152"/>
      <c r="K1" s="152"/>
      <c r="L1" s="152"/>
      <c r="M1" s="152"/>
      <c r="N1" s="152"/>
      <c r="O1" s="152"/>
      <c r="P1" s="152"/>
      <c r="Q1" s="152"/>
      <c r="R1" s="152"/>
      <c r="S1" s="101"/>
    </row>
    <row r="2" spans="1:19" s="102" customFormat="1">
      <c r="A2" s="100" t="s">
        <v>287</v>
      </c>
      <c r="B2" s="103"/>
      <c r="D2" s="104"/>
      <c r="F2" s="105">
        <v>0.88257512858251608</v>
      </c>
      <c r="G2" s="105">
        <v>0.95026864094479502</v>
      </c>
      <c r="H2" s="105">
        <v>0.96927401376369093</v>
      </c>
      <c r="I2" s="105">
        <v>1</v>
      </c>
      <c r="J2" s="152"/>
      <c r="K2" s="152"/>
      <c r="L2" s="152"/>
      <c r="M2" s="152"/>
      <c r="N2" s="152"/>
      <c r="O2" s="152"/>
      <c r="P2" s="152"/>
      <c r="Q2" s="152"/>
      <c r="R2" s="152"/>
      <c r="S2" s="101"/>
    </row>
    <row r="3" spans="1:19" s="102" customFormat="1">
      <c r="A3" s="100" t="str">
        <f>+'Datos '!B6&amp;" - "&amp; 'Histórico Deptos'!A3</f>
        <v>TESALIA - HUILA</v>
      </c>
      <c r="B3" s="103"/>
      <c r="C3" s="104"/>
      <c r="D3" s="104"/>
      <c r="E3" s="104"/>
      <c r="F3" s="106"/>
      <c r="G3" s="106"/>
      <c r="H3" s="100"/>
      <c r="I3" s="100"/>
      <c r="J3" s="152"/>
      <c r="K3" s="152"/>
      <c r="L3" s="152"/>
      <c r="M3" s="152"/>
      <c r="N3" s="152"/>
      <c r="O3" s="152"/>
      <c r="P3" s="152"/>
      <c r="Q3" s="152"/>
      <c r="R3" s="152"/>
      <c r="S3" s="101"/>
    </row>
    <row r="4" spans="1:19" s="102" customFormat="1">
      <c r="A4" s="100"/>
      <c r="B4" s="98" t="s">
        <v>288</v>
      </c>
      <c r="C4" s="100"/>
      <c r="D4" s="107"/>
      <c r="E4" s="107"/>
      <c r="F4" s="98" t="s">
        <v>289</v>
      </c>
      <c r="G4" s="100"/>
      <c r="H4" s="100"/>
      <c r="I4" s="100"/>
      <c r="J4" s="154" t="s">
        <v>290</v>
      </c>
      <c r="K4" s="152"/>
      <c r="L4" s="152"/>
      <c r="M4" s="152"/>
      <c r="N4" s="154" t="s">
        <v>291</v>
      </c>
      <c r="O4" s="152"/>
      <c r="P4" s="152"/>
      <c r="Q4" s="152"/>
      <c r="R4" s="152"/>
      <c r="S4" s="101"/>
    </row>
    <row r="5" spans="1:19" s="126" customFormat="1" ht="21" customHeight="1">
      <c r="A5" s="124" t="s">
        <v>292</v>
      </c>
      <c r="B5" s="124" t="s">
        <v>284</v>
      </c>
      <c r="C5" s="124" t="s">
        <v>285</v>
      </c>
      <c r="D5" s="124" t="s">
        <v>286</v>
      </c>
      <c r="E5" s="124" t="s">
        <v>334</v>
      </c>
      <c r="F5" s="239" t="s">
        <v>293</v>
      </c>
      <c r="G5" s="239" t="s">
        <v>294</v>
      </c>
      <c r="H5" s="239" t="s">
        <v>295</v>
      </c>
      <c r="I5" s="239" t="s">
        <v>335</v>
      </c>
      <c r="J5" s="240" t="s">
        <v>296</v>
      </c>
      <c r="K5" s="240" t="s">
        <v>297</v>
      </c>
      <c r="L5" s="240" t="s">
        <v>336</v>
      </c>
      <c r="M5" s="241" t="s">
        <v>298</v>
      </c>
      <c r="N5" s="241" t="s">
        <v>293</v>
      </c>
      <c r="O5" s="241" t="s">
        <v>294</v>
      </c>
      <c r="P5" s="241" t="s">
        <v>295</v>
      </c>
      <c r="Q5" s="241" t="s">
        <v>335</v>
      </c>
      <c r="R5" s="241" t="s">
        <v>298</v>
      </c>
      <c r="S5" s="125"/>
    </row>
    <row r="6" spans="1:19" s="102" customFormat="1">
      <c r="A6" s="24" t="s">
        <v>26</v>
      </c>
      <c r="B6" s="155">
        <f>+B7+B25</f>
        <v>3819484</v>
      </c>
      <c r="C6" s="155">
        <f t="shared" ref="C6:E6" si="0">+C7+C25</f>
        <v>5553250</v>
      </c>
      <c r="D6" s="155">
        <f t="shared" si="0"/>
        <v>8247933</v>
      </c>
      <c r="E6" s="155">
        <f t="shared" si="0"/>
        <v>8694661</v>
      </c>
      <c r="F6" s="216">
        <f t="shared" ref="F6:F39" si="1">+B6/F$2</f>
        <v>4327658.7752188155</v>
      </c>
      <c r="G6" s="216">
        <f t="shared" ref="G6:G39" si="2">+C6/G$2</f>
        <v>5843873.7855000002</v>
      </c>
      <c r="H6" s="216">
        <f t="shared" ref="H6:H39" si="3">+D6/H$2</f>
        <v>8509392.4760999996</v>
      </c>
      <c r="I6" s="216">
        <f t="shared" ref="I6:I39" si="4">+E6/I$2</f>
        <v>8694661</v>
      </c>
      <c r="J6" s="242">
        <f t="shared" ref="J6:J39" si="5">IF(ISERROR(G6/F6),0,(G6/F6-1)*100)</f>
        <v>35.035456560563084</v>
      </c>
      <c r="K6" s="242">
        <f t="shared" ref="K6:K39" si="6">IF(ISERROR(H6/G6),0,(H6/G6-1)*100)</f>
        <v>45.612187881500233</v>
      </c>
      <c r="L6" s="242">
        <f t="shared" ref="L6:L39" si="7">IF(ISERROR(I6/H6),0,(I6/H6-1)*100)</f>
        <v>2.1772238666903254</v>
      </c>
      <c r="M6" s="242">
        <f>AVERAGE(J6:L6)</f>
        <v>27.608289436251216</v>
      </c>
      <c r="N6" s="242">
        <f>IFERROR((B6/B$6*100),0)</f>
        <v>100</v>
      </c>
      <c r="O6" s="242">
        <f t="shared" ref="O6:Q16" si="8">IFERROR((C6/C$6*100),0)</f>
        <v>100</v>
      </c>
      <c r="P6" s="242">
        <f t="shared" si="8"/>
        <v>100</v>
      </c>
      <c r="Q6" s="242">
        <f t="shared" si="8"/>
        <v>100</v>
      </c>
      <c r="R6" s="242">
        <f>IFERROR(AVERAGE(N6:Q6),0)</f>
        <v>100</v>
      </c>
      <c r="S6" s="101"/>
    </row>
    <row r="7" spans="1:19" s="102" customFormat="1">
      <c r="A7" s="7" t="s">
        <v>299</v>
      </c>
      <c r="B7" s="156">
        <f>+B8+B13+B14</f>
        <v>1206231</v>
      </c>
      <c r="C7" s="156">
        <f t="shared" ref="C7:E7" si="9">+C8+C13+C14</f>
        <v>1989911</v>
      </c>
      <c r="D7" s="156">
        <f t="shared" si="9"/>
        <v>5084181</v>
      </c>
      <c r="E7" s="156">
        <f t="shared" si="9"/>
        <v>3262621</v>
      </c>
      <c r="F7" s="221">
        <f t="shared" si="1"/>
        <v>1366717.6435589117</v>
      </c>
      <c r="G7" s="221">
        <f t="shared" si="2"/>
        <v>2094051.0022740001</v>
      </c>
      <c r="H7" s="221">
        <f t="shared" si="3"/>
        <v>5245349.5377000002</v>
      </c>
      <c r="I7" s="221">
        <f t="shared" si="4"/>
        <v>3262621</v>
      </c>
      <c r="J7" s="243">
        <f t="shared" si="5"/>
        <v>53.217529029706782</v>
      </c>
      <c r="K7" s="243">
        <f t="shared" si="6"/>
        <v>150.4881462774259</v>
      </c>
      <c r="L7" s="243">
        <f t="shared" si="7"/>
        <v>-37.799740960054194</v>
      </c>
      <c r="M7" s="243">
        <f t="shared" ref="M7" si="10">AVERAGE(J7:L7)</f>
        <v>55.301978115692826</v>
      </c>
      <c r="N7" s="243">
        <f t="shared" ref="N7:N16" si="11">IFERROR((B7/B$6*100),0)</f>
        <v>31.580993663018354</v>
      </c>
      <c r="O7" s="243">
        <f t="shared" si="8"/>
        <v>35.83326880655472</v>
      </c>
      <c r="P7" s="243">
        <f t="shared" si="8"/>
        <v>61.6418804565944</v>
      </c>
      <c r="Q7" s="243">
        <f t="shared" si="8"/>
        <v>37.524418720867899</v>
      </c>
      <c r="R7" s="243">
        <f t="shared" ref="R7:R39" si="12">IFERROR(AVERAGE(N7:Q7),0)</f>
        <v>41.645140411758845</v>
      </c>
      <c r="S7" s="110"/>
    </row>
    <row r="8" spans="1:19" s="102" customFormat="1">
      <c r="A8" s="108" t="s">
        <v>300</v>
      </c>
      <c r="B8" s="109">
        <f>+B9+B10+B11+B12</f>
        <v>739220</v>
      </c>
      <c r="C8" s="109">
        <f t="shared" ref="C8:E8" si="13">+C9+C10+C11+C12</f>
        <v>817590</v>
      </c>
      <c r="D8" s="109">
        <f t="shared" si="13"/>
        <v>754477</v>
      </c>
      <c r="E8" s="109">
        <f t="shared" si="13"/>
        <v>743722</v>
      </c>
      <c r="F8" s="244">
        <f t="shared" ref="F8:I9" si="14">+B8/F$2</f>
        <v>837571.75571811607</v>
      </c>
      <c r="G8" s="245">
        <f t="shared" si="14"/>
        <v>860377.75506000011</v>
      </c>
      <c r="H8" s="245">
        <f t="shared" si="14"/>
        <v>778393.92090000003</v>
      </c>
      <c r="I8" s="245">
        <f t="shared" si="14"/>
        <v>743722</v>
      </c>
      <c r="J8" s="246">
        <f t="shared" si="5"/>
        <v>2.7228711076020762</v>
      </c>
      <c r="K8" s="247">
        <f t="shared" si="6"/>
        <v>-9.528818437929365</v>
      </c>
      <c r="L8" s="247">
        <f t="shared" si="7"/>
        <v>-4.4542897842664857</v>
      </c>
      <c r="M8" s="248">
        <f>IFERROR(AVERAGE(J8:L8),0)</f>
        <v>-3.7534123715312582</v>
      </c>
      <c r="N8" s="246">
        <f t="shared" ref="N8:Q9" si="15">IFERROR((B8/B$6*100),0)</f>
        <v>19.353923200097185</v>
      </c>
      <c r="O8" s="246">
        <f t="shared" si="15"/>
        <v>14.722729932922164</v>
      </c>
      <c r="P8" s="246">
        <f t="shared" si="15"/>
        <v>9.1474676140070486</v>
      </c>
      <c r="Q8" s="246">
        <f t="shared" si="15"/>
        <v>8.5537780023856023</v>
      </c>
      <c r="R8" s="248">
        <f t="shared" si="12"/>
        <v>12.944474687353001</v>
      </c>
      <c r="S8" s="101"/>
    </row>
    <row r="9" spans="1:19" s="102" customFormat="1">
      <c r="A9" s="108" t="s">
        <v>301</v>
      </c>
      <c r="B9" s="109">
        <v>99140</v>
      </c>
      <c r="C9" s="109">
        <v>105059</v>
      </c>
      <c r="D9" s="109">
        <v>118031</v>
      </c>
      <c r="E9" s="109">
        <v>123386</v>
      </c>
      <c r="F9" s="244">
        <f t="shared" si="14"/>
        <v>112330.38048469201</v>
      </c>
      <c r="G9" s="245">
        <f t="shared" si="14"/>
        <v>110557.15770600001</v>
      </c>
      <c r="H9" s="245">
        <f t="shared" si="14"/>
        <v>121772.58270000001</v>
      </c>
      <c r="I9" s="245">
        <f t="shared" si="14"/>
        <v>123386</v>
      </c>
      <c r="J9" s="246">
        <f t="shared" si="5"/>
        <v>-1.5785780935137494</v>
      </c>
      <c r="K9" s="247">
        <f t="shared" si="6"/>
        <v>10.144458510614673</v>
      </c>
      <c r="L9" s="247">
        <f t="shared" si="7"/>
        <v>1.3249429914571342</v>
      </c>
      <c r="M9" s="248">
        <f t="shared" ref="M9:M39" si="16">IFERROR(AVERAGE(J9:L9),0)</f>
        <v>3.2969411361860188</v>
      </c>
      <c r="N9" s="246">
        <f t="shared" si="15"/>
        <v>2.5956385731685221</v>
      </c>
      <c r="O9" s="246">
        <f t="shared" si="15"/>
        <v>1.8918471165533697</v>
      </c>
      <c r="P9" s="246">
        <f t="shared" si="15"/>
        <v>1.4310373277765471</v>
      </c>
      <c r="Q9" s="246">
        <f t="shared" si="15"/>
        <v>1.4191007561996956</v>
      </c>
      <c r="R9" s="248">
        <f t="shared" si="12"/>
        <v>1.8344059434245334</v>
      </c>
      <c r="S9" s="101"/>
    </row>
    <row r="10" spans="1:19" s="102" customFormat="1">
      <c r="A10" s="108" t="s">
        <v>302</v>
      </c>
      <c r="B10" s="109">
        <v>367931</v>
      </c>
      <c r="C10" s="109">
        <v>343530</v>
      </c>
      <c r="D10" s="109">
        <v>216907</v>
      </c>
      <c r="E10" s="109">
        <v>179993</v>
      </c>
      <c r="F10" s="244">
        <f t="shared" si="1"/>
        <v>416883.49023717182</v>
      </c>
      <c r="G10" s="245">
        <f t="shared" si="2"/>
        <v>361508.29902000003</v>
      </c>
      <c r="H10" s="245">
        <f t="shared" si="3"/>
        <v>223782.95190000001</v>
      </c>
      <c r="I10" s="245">
        <f t="shared" si="4"/>
        <v>179993</v>
      </c>
      <c r="J10" s="246">
        <f t="shared" si="5"/>
        <v>-13.283133660598534</v>
      </c>
      <c r="K10" s="247">
        <f t="shared" si="6"/>
        <v>-38.097423349160934</v>
      </c>
      <c r="L10" s="247">
        <f t="shared" si="7"/>
        <v>-19.568046416497388</v>
      </c>
      <c r="M10" s="248">
        <f t="shared" si="16"/>
        <v>-23.64953447541895</v>
      </c>
      <c r="N10" s="246">
        <f t="shared" si="11"/>
        <v>9.6330027825748186</v>
      </c>
      <c r="O10" s="246">
        <f t="shared" si="8"/>
        <v>6.1861072345023187</v>
      </c>
      <c r="P10" s="246">
        <f t="shared" si="8"/>
        <v>2.6298346506936952</v>
      </c>
      <c r="Q10" s="246">
        <f t="shared" si="8"/>
        <v>2.0701554666708684</v>
      </c>
      <c r="R10" s="248">
        <f t="shared" si="12"/>
        <v>5.1297750336104251</v>
      </c>
      <c r="S10" s="101"/>
    </row>
    <row r="11" spans="1:19" s="102" customFormat="1">
      <c r="A11" s="111" t="s">
        <v>303</v>
      </c>
      <c r="B11" s="109">
        <v>214107</v>
      </c>
      <c r="C11" s="109">
        <v>214258</v>
      </c>
      <c r="D11" s="109">
        <v>203329</v>
      </c>
      <c r="E11" s="109">
        <v>209460</v>
      </c>
      <c r="F11" s="244">
        <f t="shared" si="1"/>
        <v>242593.51194710462</v>
      </c>
      <c r="G11" s="245">
        <f t="shared" si="2"/>
        <v>225470.97817200003</v>
      </c>
      <c r="H11" s="245">
        <f t="shared" si="3"/>
        <v>209774.52930000002</v>
      </c>
      <c r="I11" s="245">
        <f t="shared" si="4"/>
        <v>209460</v>
      </c>
      <c r="J11" s="246">
        <f t="shared" si="5"/>
        <v>-7.0581169453690968</v>
      </c>
      <c r="K11" s="247">
        <f t="shared" si="6"/>
        <v>-6.9616271678326624</v>
      </c>
      <c r="L11" s="247">
        <f t="shared" si="7"/>
        <v>-0.14993683982968964</v>
      </c>
      <c r="M11" s="248">
        <f t="shared" si="16"/>
        <v>-4.7232269843438166</v>
      </c>
      <c r="N11" s="246">
        <f t="shared" si="11"/>
        <v>5.6056524912789261</v>
      </c>
      <c r="O11" s="246">
        <f t="shared" si="8"/>
        <v>3.8582451717462747</v>
      </c>
      <c r="P11" s="246">
        <f t="shared" si="8"/>
        <v>2.465211586951543</v>
      </c>
      <c r="Q11" s="246">
        <f t="shared" si="8"/>
        <v>2.4090645972281148</v>
      </c>
      <c r="R11" s="248">
        <f t="shared" si="12"/>
        <v>3.5845434618012146</v>
      </c>
      <c r="S11" s="101"/>
    </row>
    <row r="12" spans="1:19" s="102" customFormat="1">
      <c r="A12" s="111" t="s">
        <v>304</v>
      </c>
      <c r="B12" s="109">
        <v>58042</v>
      </c>
      <c r="C12" s="109">
        <v>154743</v>
      </c>
      <c r="D12" s="109">
        <v>216210</v>
      </c>
      <c r="E12" s="109">
        <f>224913+5970</f>
        <v>230883</v>
      </c>
      <c r="F12" s="244">
        <f t="shared" si="1"/>
        <v>65764.373049147602</v>
      </c>
      <c r="G12" s="245">
        <f t="shared" si="2"/>
        <v>162841.32016200002</v>
      </c>
      <c r="H12" s="245">
        <f t="shared" si="3"/>
        <v>223063.85700000002</v>
      </c>
      <c r="I12" s="245">
        <f t="shared" si="4"/>
        <v>230883</v>
      </c>
      <c r="J12" s="246">
        <f t="shared" si="5"/>
        <v>147.61327845443617</v>
      </c>
      <c r="K12" s="247">
        <f t="shared" si="6"/>
        <v>36.982343779876395</v>
      </c>
      <c r="L12" s="247">
        <f t="shared" si="7"/>
        <v>3.5053383838870689</v>
      </c>
      <c r="M12" s="248">
        <f t="shared" si="16"/>
        <v>62.70032020606655</v>
      </c>
      <c r="N12" s="246">
        <f t="shared" si="11"/>
        <v>1.5196293530749181</v>
      </c>
      <c r="O12" s="246">
        <f t="shared" si="8"/>
        <v>2.7865304101202</v>
      </c>
      <c r="P12" s="246">
        <f t="shared" si="8"/>
        <v>2.6213840485852637</v>
      </c>
      <c r="Q12" s="246">
        <f t="shared" si="8"/>
        <v>2.6554571822869231</v>
      </c>
      <c r="R12" s="248">
        <f t="shared" si="12"/>
        <v>2.3957502485168263</v>
      </c>
      <c r="S12" s="101"/>
    </row>
    <row r="13" spans="1:19" s="102" customFormat="1">
      <c r="A13" s="108" t="s">
        <v>305</v>
      </c>
      <c r="B13" s="109">
        <v>234345</v>
      </c>
      <c r="C13" s="109">
        <v>425535</v>
      </c>
      <c r="D13" s="109">
        <v>2849437</v>
      </c>
      <c r="E13" s="109">
        <v>1701270</v>
      </c>
      <c r="F13" s="244">
        <f t="shared" si="1"/>
        <v>265524.137731341</v>
      </c>
      <c r="G13" s="245">
        <f t="shared" si="2"/>
        <v>447804.94869000005</v>
      </c>
      <c r="H13" s="245">
        <f t="shared" si="3"/>
        <v>2939764.1529000001</v>
      </c>
      <c r="I13" s="245">
        <f t="shared" si="4"/>
        <v>1701270</v>
      </c>
      <c r="J13" s="246">
        <f t="shared" si="5"/>
        <v>68.649431466412267</v>
      </c>
      <c r="K13" s="247">
        <f t="shared" si="6"/>
        <v>556.48317677147816</v>
      </c>
      <c r="L13" s="247">
        <f t="shared" si="7"/>
        <v>-42.129031054353739</v>
      </c>
      <c r="M13" s="248">
        <f t="shared" si="16"/>
        <v>194.33452572784554</v>
      </c>
      <c r="N13" s="246">
        <f t="shared" si="11"/>
        <v>6.1355146401974716</v>
      </c>
      <c r="O13" s="246">
        <f t="shared" si="8"/>
        <v>7.6628100661774639</v>
      </c>
      <c r="P13" s="246">
        <f t="shared" si="8"/>
        <v>34.547285968496595</v>
      </c>
      <c r="Q13" s="246">
        <f t="shared" si="8"/>
        <v>19.5668353257246</v>
      </c>
      <c r="R13" s="248">
        <f t="shared" si="12"/>
        <v>16.978111500149033</v>
      </c>
      <c r="S13" s="101"/>
    </row>
    <row r="14" spans="1:19" s="102" customFormat="1">
      <c r="A14" s="108" t="s">
        <v>306</v>
      </c>
      <c r="B14" s="109">
        <f>+B15+B16</f>
        <v>232666</v>
      </c>
      <c r="C14" s="109">
        <f t="shared" ref="C14:E14" si="17">+C15+C16</f>
        <v>746786</v>
      </c>
      <c r="D14" s="109">
        <f t="shared" si="17"/>
        <v>1480267</v>
      </c>
      <c r="E14" s="109">
        <f t="shared" si="17"/>
        <v>817629</v>
      </c>
      <c r="F14" s="244">
        <f t="shared" si="1"/>
        <v>263621.75010945479</v>
      </c>
      <c r="G14" s="245">
        <f t="shared" si="2"/>
        <v>785868.2985240001</v>
      </c>
      <c r="H14" s="245">
        <f t="shared" si="3"/>
        <v>1527191.4639000001</v>
      </c>
      <c r="I14" s="245">
        <f t="shared" si="4"/>
        <v>817629</v>
      </c>
      <c r="J14" s="246">
        <f t="shared" si="5"/>
        <v>198.10449941922866</v>
      </c>
      <c r="K14" s="247">
        <f t="shared" si="6"/>
        <v>94.331730490762425</v>
      </c>
      <c r="L14" s="247">
        <f t="shared" si="7"/>
        <v>-46.461919194335024</v>
      </c>
      <c r="M14" s="248">
        <f t="shared" si="16"/>
        <v>81.991436905218691</v>
      </c>
      <c r="N14" s="246">
        <f t="shared" si="11"/>
        <v>6.0915558227236977</v>
      </c>
      <c r="O14" s="246">
        <f t="shared" si="8"/>
        <v>13.447728807455094</v>
      </c>
      <c r="P14" s="246">
        <f t="shared" si="8"/>
        <v>17.947126874090756</v>
      </c>
      <c r="Q14" s="246">
        <f t="shared" si="8"/>
        <v>9.4038053927576932</v>
      </c>
      <c r="R14" s="248">
        <f t="shared" si="12"/>
        <v>11.722554224256811</v>
      </c>
      <c r="S14" s="101"/>
    </row>
    <row r="15" spans="1:19" s="102" customFormat="1">
      <c r="A15" s="108" t="s">
        <v>307</v>
      </c>
      <c r="B15" s="109">
        <v>63542</v>
      </c>
      <c r="C15" s="109">
        <v>414081</v>
      </c>
      <c r="D15" s="109">
        <v>1245164</v>
      </c>
      <c r="E15" s="109">
        <v>606076</v>
      </c>
      <c r="F15" s="244">
        <f t="shared" si="1"/>
        <v>71996.137147047601</v>
      </c>
      <c r="G15" s="245">
        <f t="shared" si="2"/>
        <v>435751.51505400002</v>
      </c>
      <c r="H15" s="245">
        <f t="shared" si="3"/>
        <v>1284635.6988000001</v>
      </c>
      <c r="I15" s="245">
        <f t="shared" si="4"/>
        <v>606076</v>
      </c>
      <c r="J15" s="246">
        <f t="shared" si="5"/>
        <v>505.24290930220997</v>
      </c>
      <c r="K15" s="247">
        <f t="shared" si="6"/>
        <v>194.80923288145152</v>
      </c>
      <c r="L15" s="247">
        <f t="shared" si="7"/>
        <v>-52.821177197072622</v>
      </c>
      <c r="M15" s="248">
        <f t="shared" si="16"/>
        <v>215.74365499552962</v>
      </c>
      <c r="N15" s="246">
        <f t="shared" si="11"/>
        <v>1.6636278617739988</v>
      </c>
      <c r="O15" s="246">
        <f t="shared" si="8"/>
        <v>7.4565524692747491</v>
      </c>
      <c r="P15" s="246">
        <f t="shared" si="8"/>
        <v>15.096679374092878</v>
      </c>
      <c r="Q15" s="246">
        <f t="shared" si="8"/>
        <v>6.9706685516548603</v>
      </c>
      <c r="R15" s="248">
        <f t="shared" si="12"/>
        <v>7.7968820641991208</v>
      </c>
      <c r="S15" s="101"/>
    </row>
    <row r="16" spans="1:19" s="102" customFormat="1">
      <c r="A16" s="108" t="s">
        <v>308</v>
      </c>
      <c r="B16" s="109">
        <v>169124</v>
      </c>
      <c r="C16" s="109">
        <v>332705</v>
      </c>
      <c r="D16" s="109">
        <v>235103</v>
      </c>
      <c r="E16" s="109">
        <v>211553</v>
      </c>
      <c r="F16" s="244">
        <f t="shared" si="1"/>
        <v>191625.61296240721</v>
      </c>
      <c r="G16" s="245">
        <f t="shared" si="2"/>
        <v>350116.78347000002</v>
      </c>
      <c r="H16" s="245">
        <f t="shared" si="3"/>
        <v>242555.76510000002</v>
      </c>
      <c r="I16" s="245">
        <f t="shared" si="4"/>
        <v>211553</v>
      </c>
      <c r="J16" s="246">
        <f t="shared" si="5"/>
        <v>82.708761139715364</v>
      </c>
      <c r="K16" s="247">
        <f t="shared" si="6"/>
        <v>-30.72146879220271</v>
      </c>
      <c r="L16" s="247">
        <f t="shared" si="7"/>
        <v>-12.78170613146149</v>
      </c>
      <c r="M16" s="248">
        <f t="shared" si="16"/>
        <v>13.068528738683719</v>
      </c>
      <c r="N16" s="246">
        <f t="shared" si="11"/>
        <v>4.4279279609496989</v>
      </c>
      <c r="O16" s="246">
        <f t="shared" si="8"/>
        <v>5.9911763381803453</v>
      </c>
      <c r="P16" s="246">
        <f t="shared" si="8"/>
        <v>2.8504474999978782</v>
      </c>
      <c r="Q16" s="246">
        <f t="shared" si="8"/>
        <v>2.4331368411028333</v>
      </c>
      <c r="R16" s="248">
        <f t="shared" si="12"/>
        <v>3.9256721600576889</v>
      </c>
      <c r="S16" s="101"/>
    </row>
    <row r="17" spans="1:19" s="102" customFormat="1">
      <c r="A17" s="24" t="s">
        <v>309</v>
      </c>
      <c r="B17" s="155">
        <f>+B18+B30</f>
        <v>821765</v>
      </c>
      <c r="C17" s="155">
        <f t="shared" ref="C17:E17" si="18">+C18+C30</f>
        <v>985810</v>
      </c>
      <c r="D17" s="155">
        <f t="shared" si="18"/>
        <v>1048937</v>
      </c>
      <c r="E17" s="155">
        <f t="shared" si="18"/>
        <v>1170839</v>
      </c>
      <c r="F17" s="216">
        <f t="shared" si="1"/>
        <v>931099.20434741699</v>
      </c>
      <c r="G17" s="216">
        <f t="shared" si="2"/>
        <v>1037401.38054</v>
      </c>
      <c r="H17" s="216">
        <f t="shared" si="3"/>
        <v>1082188.3029</v>
      </c>
      <c r="I17" s="216">
        <f t="shared" si="4"/>
        <v>1170839</v>
      </c>
      <c r="J17" s="242">
        <f t="shared" si="5"/>
        <v>11.416847495545589</v>
      </c>
      <c r="K17" s="242">
        <f t="shared" si="6"/>
        <v>4.3172221668614785</v>
      </c>
      <c r="L17" s="242">
        <f t="shared" si="7"/>
        <v>8.191799602937655</v>
      </c>
      <c r="M17" s="242">
        <f t="shared" si="16"/>
        <v>7.9752897551149076</v>
      </c>
      <c r="N17" s="242">
        <f>IFERROR((B17/B$17*100),0)</f>
        <v>100</v>
      </c>
      <c r="O17" s="242">
        <f t="shared" ref="O17:Q23" si="19">IFERROR((C17/C$17*100),0)</f>
        <v>100</v>
      </c>
      <c r="P17" s="242">
        <f t="shared" si="19"/>
        <v>100</v>
      </c>
      <c r="Q17" s="242">
        <f t="shared" si="19"/>
        <v>100</v>
      </c>
      <c r="R17" s="242">
        <f t="shared" si="12"/>
        <v>100</v>
      </c>
      <c r="S17" s="101"/>
    </row>
    <row r="18" spans="1:19" s="102" customFormat="1">
      <c r="A18" s="7" t="s">
        <v>310</v>
      </c>
      <c r="B18" s="156">
        <f>+B19+B23</f>
        <v>821765</v>
      </c>
      <c r="C18" s="156">
        <f t="shared" ref="C18:E18" si="20">+C19+C23</f>
        <v>985810</v>
      </c>
      <c r="D18" s="156">
        <f t="shared" si="20"/>
        <v>1048937</v>
      </c>
      <c r="E18" s="156">
        <f t="shared" si="20"/>
        <v>1170839</v>
      </c>
      <c r="F18" s="221">
        <f t="shared" si="1"/>
        <v>931099.20434741699</v>
      </c>
      <c r="G18" s="221">
        <f t="shared" si="2"/>
        <v>1037401.38054</v>
      </c>
      <c r="H18" s="221">
        <f t="shared" si="3"/>
        <v>1082188.3029</v>
      </c>
      <c r="I18" s="221">
        <f t="shared" si="4"/>
        <v>1170839</v>
      </c>
      <c r="J18" s="243">
        <f t="shared" si="5"/>
        <v>11.416847495545589</v>
      </c>
      <c r="K18" s="243">
        <f t="shared" si="6"/>
        <v>4.3172221668614785</v>
      </c>
      <c r="L18" s="243">
        <f t="shared" si="7"/>
        <v>8.191799602937655</v>
      </c>
      <c r="M18" s="243">
        <f t="shared" si="16"/>
        <v>7.9752897551149076</v>
      </c>
      <c r="N18" s="243">
        <f t="shared" ref="N18:N23" si="21">IFERROR((B18/B$17*100),0)</f>
        <v>100</v>
      </c>
      <c r="O18" s="243">
        <f t="shared" si="19"/>
        <v>100</v>
      </c>
      <c r="P18" s="243">
        <f t="shared" si="19"/>
        <v>100</v>
      </c>
      <c r="Q18" s="243">
        <f t="shared" si="19"/>
        <v>100</v>
      </c>
      <c r="R18" s="243">
        <f t="shared" si="12"/>
        <v>100</v>
      </c>
      <c r="S18" s="110"/>
    </row>
    <row r="19" spans="1:19" s="102" customFormat="1">
      <c r="A19" s="108" t="s">
        <v>311</v>
      </c>
      <c r="B19" s="109">
        <f>+B20+B21+B22</f>
        <v>765046</v>
      </c>
      <c r="C19" s="109">
        <f t="shared" ref="C19:E19" si="22">+C20+C21+C22</f>
        <v>926186</v>
      </c>
      <c r="D19" s="109">
        <f t="shared" si="22"/>
        <v>974516</v>
      </c>
      <c r="E19" s="109">
        <f t="shared" si="22"/>
        <v>1170839</v>
      </c>
      <c r="F19" s="244">
        <f t="shared" si="1"/>
        <v>866833.85382581886</v>
      </c>
      <c r="G19" s="245">
        <f t="shared" si="2"/>
        <v>974657.01812400005</v>
      </c>
      <c r="H19" s="245">
        <f t="shared" si="3"/>
        <v>1005408.1572</v>
      </c>
      <c r="I19" s="245">
        <f t="shared" si="4"/>
        <v>1170839</v>
      </c>
      <c r="J19" s="246">
        <f t="shared" si="5"/>
        <v>12.438734807402563</v>
      </c>
      <c r="K19" s="247">
        <f t="shared" si="6"/>
        <v>3.1550728619580637</v>
      </c>
      <c r="L19" s="247">
        <f t="shared" si="7"/>
        <v>16.454097931800614</v>
      </c>
      <c r="M19" s="248">
        <f t="shared" si="16"/>
        <v>10.682635200387081</v>
      </c>
      <c r="N19" s="246">
        <f t="shared" si="21"/>
        <v>93.097905118860012</v>
      </c>
      <c r="O19" s="246">
        <f t="shared" si="19"/>
        <v>93.951775697142452</v>
      </c>
      <c r="P19" s="246">
        <f t="shared" si="19"/>
        <v>92.905102975679185</v>
      </c>
      <c r="Q19" s="246">
        <f t="shared" si="19"/>
        <v>100</v>
      </c>
      <c r="R19" s="248">
        <f t="shared" si="12"/>
        <v>94.988695947920419</v>
      </c>
      <c r="S19" s="101"/>
    </row>
    <row r="20" spans="1:19" s="102" customFormat="1">
      <c r="A20" s="108" t="s">
        <v>312</v>
      </c>
      <c r="B20" s="109">
        <v>527976</v>
      </c>
      <c r="C20" s="109">
        <v>522640</v>
      </c>
      <c r="D20" s="109">
        <v>602550</v>
      </c>
      <c r="E20" s="109">
        <v>624551</v>
      </c>
      <c r="F20" s="244">
        <f t="shared" si="1"/>
        <v>598222.1602459728</v>
      </c>
      <c r="G20" s="245">
        <f t="shared" si="2"/>
        <v>549991.8417600001</v>
      </c>
      <c r="H20" s="245">
        <f t="shared" si="3"/>
        <v>621650.83500000008</v>
      </c>
      <c r="I20" s="245">
        <f t="shared" si="4"/>
        <v>624551</v>
      </c>
      <c r="J20" s="246">
        <f t="shared" si="5"/>
        <v>-8.0622754707284194</v>
      </c>
      <c r="K20" s="247">
        <f t="shared" si="6"/>
        <v>13.029101124607202</v>
      </c>
      <c r="L20" s="247">
        <f t="shared" si="7"/>
        <v>0.46652635799964148</v>
      </c>
      <c r="M20" s="248">
        <f t="shared" si="16"/>
        <v>1.811117337292808</v>
      </c>
      <c r="N20" s="246">
        <f t="shared" si="21"/>
        <v>64.249024964558004</v>
      </c>
      <c r="O20" s="246">
        <f t="shared" si="19"/>
        <v>53.016301315669345</v>
      </c>
      <c r="P20" s="246">
        <f t="shared" si="19"/>
        <v>57.443869364890368</v>
      </c>
      <c r="Q20" s="246">
        <f t="shared" si="19"/>
        <v>53.342175995162442</v>
      </c>
      <c r="R20" s="248">
        <f t="shared" si="12"/>
        <v>57.012842910070042</v>
      </c>
      <c r="S20" s="112"/>
    </row>
    <row r="21" spans="1:19" s="102" customFormat="1">
      <c r="A21" s="108" t="s">
        <v>313</v>
      </c>
      <c r="B21" s="109">
        <v>237070</v>
      </c>
      <c r="C21" s="109">
        <v>403546</v>
      </c>
      <c r="D21" s="109">
        <v>371966</v>
      </c>
      <c r="E21" s="109">
        <v>375304</v>
      </c>
      <c r="F21" s="244">
        <f t="shared" si="1"/>
        <v>268611.693579846</v>
      </c>
      <c r="G21" s="245">
        <f t="shared" si="2"/>
        <v>424665.17636400001</v>
      </c>
      <c r="H21" s="245">
        <f t="shared" si="3"/>
        <v>383757.32220000005</v>
      </c>
      <c r="I21" s="245">
        <f t="shared" si="4"/>
        <v>375304</v>
      </c>
      <c r="J21" s="246">
        <f t="shared" si="5"/>
        <v>58.096310218068162</v>
      </c>
      <c r="K21" s="247">
        <f t="shared" si="6"/>
        <v>-9.6329664971012257</v>
      </c>
      <c r="L21" s="247">
        <f t="shared" si="7"/>
        <v>-2.2027780868229208</v>
      </c>
      <c r="M21" s="248">
        <f t="shared" si="16"/>
        <v>15.420188544714671</v>
      </c>
      <c r="N21" s="246">
        <f t="shared" si="21"/>
        <v>28.848880154302019</v>
      </c>
      <c r="O21" s="246">
        <f t="shared" si="19"/>
        <v>40.935474381473099</v>
      </c>
      <c r="P21" s="246">
        <f t="shared" si="19"/>
        <v>35.461233610788831</v>
      </c>
      <c r="Q21" s="246">
        <f t="shared" si="19"/>
        <v>32.05427902555347</v>
      </c>
      <c r="R21" s="248">
        <f t="shared" si="12"/>
        <v>34.324966793029361</v>
      </c>
      <c r="S21" s="101"/>
    </row>
    <row r="22" spans="1:19" s="102" customFormat="1">
      <c r="A22" s="108" t="s">
        <v>314</v>
      </c>
      <c r="B22" s="109"/>
      <c r="C22" s="109"/>
      <c r="D22" s="109"/>
      <c r="E22" s="109">
        <v>170984</v>
      </c>
      <c r="F22" s="244">
        <f t="shared" si="1"/>
        <v>0</v>
      </c>
      <c r="G22" s="245">
        <f t="shared" si="2"/>
        <v>0</v>
      </c>
      <c r="H22" s="245">
        <f t="shared" si="3"/>
        <v>0</v>
      </c>
      <c r="I22" s="245">
        <f t="shared" si="4"/>
        <v>170984</v>
      </c>
      <c r="J22" s="246">
        <f t="shared" si="5"/>
        <v>0</v>
      </c>
      <c r="K22" s="247">
        <f t="shared" si="6"/>
        <v>0</v>
      </c>
      <c r="L22" s="247">
        <f t="shared" si="7"/>
        <v>0</v>
      </c>
      <c r="M22" s="248">
        <f t="shared" si="16"/>
        <v>0</v>
      </c>
      <c r="N22" s="246">
        <f t="shared" si="21"/>
        <v>0</v>
      </c>
      <c r="O22" s="246">
        <f t="shared" si="19"/>
        <v>0</v>
      </c>
      <c r="P22" s="246">
        <f t="shared" si="19"/>
        <v>0</v>
      </c>
      <c r="Q22" s="246">
        <f t="shared" si="19"/>
        <v>14.603544979284086</v>
      </c>
      <c r="R22" s="248">
        <f t="shared" si="12"/>
        <v>3.6508862448210215</v>
      </c>
      <c r="S22" s="101"/>
    </row>
    <row r="23" spans="1:19" s="102" customFormat="1">
      <c r="A23" s="108" t="s">
        <v>315</v>
      </c>
      <c r="B23" s="109">
        <v>56719</v>
      </c>
      <c r="C23" s="109">
        <v>59624</v>
      </c>
      <c r="D23" s="109">
        <v>74421</v>
      </c>
      <c r="E23" s="109"/>
      <c r="F23" s="244">
        <f t="shared" si="1"/>
        <v>64265.3505215982</v>
      </c>
      <c r="G23" s="245">
        <f t="shared" si="2"/>
        <v>62744.362416000004</v>
      </c>
      <c r="H23" s="245">
        <f t="shared" si="3"/>
        <v>76780.145700000008</v>
      </c>
      <c r="I23" s="245">
        <f t="shared" si="4"/>
        <v>0</v>
      </c>
      <c r="J23" s="246">
        <f t="shared" si="5"/>
        <v>-2.366731206246242</v>
      </c>
      <c r="K23" s="247">
        <f t="shared" si="6"/>
        <v>22.36979187220307</v>
      </c>
      <c r="L23" s="247">
        <f t="shared" si="7"/>
        <v>-100</v>
      </c>
      <c r="M23" s="248">
        <f t="shared" si="16"/>
        <v>-26.665646444681059</v>
      </c>
      <c r="N23" s="246">
        <f t="shared" si="21"/>
        <v>6.9020948811399849</v>
      </c>
      <c r="O23" s="246">
        <f t="shared" si="19"/>
        <v>6.0482243028575491</v>
      </c>
      <c r="P23" s="246">
        <f t="shared" si="19"/>
        <v>7.0948970243208116</v>
      </c>
      <c r="Q23" s="246">
        <f t="shared" si="19"/>
        <v>0</v>
      </c>
      <c r="R23" s="248">
        <f t="shared" si="12"/>
        <v>5.011304052079586</v>
      </c>
      <c r="S23" s="110"/>
    </row>
    <row r="24" spans="1:19" s="102" customFormat="1">
      <c r="A24" s="113" t="s">
        <v>316</v>
      </c>
      <c r="B24" s="114">
        <f>+B7-B18</f>
        <v>384466</v>
      </c>
      <c r="C24" s="114">
        <f t="shared" ref="C24:E24" si="23">+C7-C18</f>
        <v>1004101</v>
      </c>
      <c r="D24" s="114">
        <f t="shared" si="23"/>
        <v>4035244</v>
      </c>
      <c r="E24" s="114">
        <f t="shared" si="23"/>
        <v>2091782</v>
      </c>
      <c r="F24" s="227">
        <f t="shared" si="1"/>
        <v>435618.43921149481</v>
      </c>
      <c r="G24" s="228">
        <f t="shared" si="2"/>
        <v>1056649.621734</v>
      </c>
      <c r="H24" s="228">
        <f t="shared" si="3"/>
        <v>4163161.2348000002</v>
      </c>
      <c r="I24" s="228">
        <f t="shared" si="4"/>
        <v>2091782</v>
      </c>
      <c r="J24" s="249">
        <f t="shared" si="5"/>
        <v>142.56310721066416</v>
      </c>
      <c r="K24" s="250">
        <f t="shared" si="6"/>
        <v>293.99637771772473</v>
      </c>
      <c r="L24" s="250">
        <f t="shared" si="7"/>
        <v>-49.754960665113657</v>
      </c>
      <c r="M24" s="251">
        <f t="shared" si="16"/>
        <v>128.93484142109173</v>
      </c>
      <c r="N24" s="246">
        <f t="shared" ref="N24" si="24">IFERROR((B24/B$6*100),0)</f>
        <v>10.065914662818329</v>
      </c>
      <c r="O24" s="246">
        <f t="shared" ref="O24:O29" si="25">IFERROR((C24/C$6*100),0)</f>
        <v>18.081321748525639</v>
      </c>
      <c r="P24" s="246">
        <f t="shared" ref="P24:P29" si="26">IFERROR((D24/D$6*100),0)</f>
        <v>48.924306247395563</v>
      </c>
      <c r="Q24" s="246">
        <f t="shared" ref="Q24:Q29" si="27">IFERROR((E24/E$6*100),0)</f>
        <v>24.058235277948157</v>
      </c>
      <c r="R24" s="251">
        <f t="shared" si="12"/>
        <v>25.282444484171922</v>
      </c>
      <c r="S24" s="101"/>
    </row>
    <row r="25" spans="1:19" s="102" customFormat="1">
      <c r="A25" s="7" t="s">
        <v>317</v>
      </c>
      <c r="B25" s="156">
        <f>+B26+B27+B28+B29</f>
        <v>2613253</v>
      </c>
      <c r="C25" s="156">
        <f t="shared" ref="C25:E25" si="28">+C26+C27+C28+C29</f>
        <v>3563339</v>
      </c>
      <c r="D25" s="156">
        <f t="shared" si="28"/>
        <v>3163752</v>
      </c>
      <c r="E25" s="156">
        <f t="shared" si="28"/>
        <v>5432040</v>
      </c>
      <c r="F25" s="221">
        <f t="shared" si="1"/>
        <v>2960941.1316599036</v>
      </c>
      <c r="G25" s="221">
        <f t="shared" si="2"/>
        <v>3749822.7832260001</v>
      </c>
      <c r="H25" s="221">
        <f t="shared" si="3"/>
        <v>3264042.9384000003</v>
      </c>
      <c r="I25" s="221">
        <f t="shared" si="4"/>
        <v>5432040</v>
      </c>
      <c r="J25" s="243">
        <f t="shared" si="5"/>
        <v>26.642936029054031</v>
      </c>
      <c r="K25" s="243">
        <f t="shared" si="6"/>
        <v>-12.95474140802142</v>
      </c>
      <c r="L25" s="243">
        <f t="shared" si="7"/>
        <v>66.420604830116886</v>
      </c>
      <c r="M25" s="243">
        <f t="shared" si="16"/>
        <v>26.702933150383164</v>
      </c>
      <c r="N25" s="243">
        <f t="shared" ref="N25:N29" si="29">IFERROR((B25/B$6*100),0)</f>
        <v>68.419006336981653</v>
      </c>
      <c r="O25" s="243">
        <f t="shared" si="25"/>
        <v>64.166731193445287</v>
      </c>
      <c r="P25" s="243">
        <f t="shared" si="26"/>
        <v>38.3581195434056</v>
      </c>
      <c r="Q25" s="243">
        <f t="shared" si="27"/>
        <v>62.475581279132101</v>
      </c>
      <c r="R25" s="243">
        <f t="shared" si="12"/>
        <v>58.354859588241155</v>
      </c>
      <c r="S25" s="101"/>
    </row>
    <row r="26" spans="1:19" s="102" customFormat="1">
      <c r="A26" s="108" t="s">
        <v>318</v>
      </c>
      <c r="B26" s="109">
        <v>640009</v>
      </c>
      <c r="C26" s="109">
        <v>1443488</v>
      </c>
      <c r="D26" s="109">
        <v>843256</v>
      </c>
      <c r="E26" s="109">
        <v>1010244</v>
      </c>
      <c r="F26" s="244">
        <f t="shared" si="1"/>
        <v>725160.92882416025</v>
      </c>
      <c r="G26" s="245">
        <f t="shared" si="2"/>
        <v>1519031.5009920001</v>
      </c>
      <c r="H26" s="245">
        <f t="shared" si="3"/>
        <v>869987.21520000009</v>
      </c>
      <c r="I26" s="245">
        <f t="shared" si="4"/>
        <v>1010244</v>
      </c>
      <c r="J26" s="246">
        <f t="shared" si="5"/>
        <v>109.47508899232771</v>
      </c>
      <c r="K26" s="247">
        <f t="shared" si="6"/>
        <v>-42.727506662511146</v>
      </c>
      <c r="L26" s="247">
        <f t="shared" si="7"/>
        <v>16.121706428496928</v>
      </c>
      <c r="M26" s="248">
        <f t="shared" si="16"/>
        <v>27.623096252771166</v>
      </c>
      <c r="N26" s="246">
        <f t="shared" si="29"/>
        <v>16.756425737089092</v>
      </c>
      <c r="O26" s="246">
        <f t="shared" si="25"/>
        <v>25.993571332102821</v>
      </c>
      <c r="P26" s="246">
        <f t="shared" si="26"/>
        <v>10.223846386725013</v>
      </c>
      <c r="Q26" s="246">
        <f t="shared" si="27"/>
        <v>11.619130406579394</v>
      </c>
      <c r="R26" s="248">
        <f t="shared" si="12"/>
        <v>16.148243465624081</v>
      </c>
      <c r="S26" s="115"/>
    </row>
    <row r="27" spans="1:19" s="102" customFormat="1">
      <c r="A27" s="108" t="s">
        <v>319</v>
      </c>
      <c r="B27" s="109">
        <v>1973244</v>
      </c>
      <c r="C27" s="109">
        <v>2119851</v>
      </c>
      <c r="D27" s="109">
        <v>2320496</v>
      </c>
      <c r="E27" s="109">
        <v>4076500</v>
      </c>
      <c r="F27" s="244">
        <f t="shared" si="1"/>
        <v>2235780.2028357433</v>
      </c>
      <c r="G27" s="245">
        <f t="shared" si="2"/>
        <v>2230791.282234</v>
      </c>
      <c r="H27" s="245">
        <f t="shared" si="3"/>
        <v>2394055.7232000004</v>
      </c>
      <c r="I27" s="245">
        <f t="shared" si="4"/>
        <v>4076500</v>
      </c>
      <c r="J27" s="246">
        <f t="shared" si="5"/>
        <v>-0.22314002939177735</v>
      </c>
      <c r="K27" s="247">
        <f t="shared" si="6"/>
        <v>7.3186784557675466</v>
      </c>
      <c r="L27" s="247">
        <f t="shared" si="7"/>
        <v>70.275902958147114</v>
      </c>
      <c r="M27" s="248">
        <f t="shared" si="16"/>
        <v>25.790480461507627</v>
      </c>
      <c r="N27" s="246">
        <f t="shared" si="29"/>
        <v>51.66258059989255</v>
      </c>
      <c r="O27" s="246">
        <f t="shared" si="25"/>
        <v>38.173159861342462</v>
      </c>
      <c r="P27" s="246">
        <f t="shared" si="26"/>
        <v>28.134273156680589</v>
      </c>
      <c r="Q27" s="246">
        <f t="shared" si="27"/>
        <v>46.885094197462095</v>
      </c>
      <c r="R27" s="248">
        <f t="shared" si="12"/>
        <v>41.21377695384443</v>
      </c>
      <c r="S27" s="101"/>
    </row>
    <row r="28" spans="1:19" s="102" customFormat="1">
      <c r="A28" s="108" t="s">
        <v>320</v>
      </c>
      <c r="B28" s="109"/>
      <c r="C28" s="109"/>
      <c r="D28" s="109"/>
      <c r="E28" s="109"/>
      <c r="F28" s="244">
        <f t="shared" si="1"/>
        <v>0</v>
      </c>
      <c r="G28" s="245">
        <f t="shared" si="2"/>
        <v>0</v>
      </c>
      <c r="H28" s="245">
        <f t="shared" si="3"/>
        <v>0</v>
      </c>
      <c r="I28" s="245">
        <f t="shared" si="4"/>
        <v>0</v>
      </c>
      <c r="J28" s="246">
        <f t="shared" si="5"/>
        <v>0</v>
      </c>
      <c r="K28" s="247">
        <f t="shared" si="6"/>
        <v>0</v>
      </c>
      <c r="L28" s="247">
        <f t="shared" si="7"/>
        <v>0</v>
      </c>
      <c r="M28" s="248">
        <f t="shared" si="16"/>
        <v>0</v>
      </c>
      <c r="N28" s="246">
        <f t="shared" si="29"/>
        <v>0</v>
      </c>
      <c r="O28" s="246">
        <f t="shared" si="25"/>
        <v>0</v>
      </c>
      <c r="P28" s="246">
        <f t="shared" si="26"/>
        <v>0</v>
      </c>
      <c r="Q28" s="246">
        <f t="shared" si="27"/>
        <v>0</v>
      </c>
      <c r="R28" s="248">
        <f t="shared" si="12"/>
        <v>0</v>
      </c>
      <c r="S28" s="101"/>
    </row>
    <row r="29" spans="1:19" s="102" customFormat="1">
      <c r="A29" s="108" t="s">
        <v>321</v>
      </c>
      <c r="B29" s="109"/>
      <c r="C29" s="109"/>
      <c r="D29" s="109"/>
      <c r="E29" s="109">
        <f>340504+4792</f>
        <v>345296</v>
      </c>
      <c r="F29" s="244">
        <f t="shared" si="1"/>
        <v>0</v>
      </c>
      <c r="G29" s="245">
        <f t="shared" si="2"/>
        <v>0</v>
      </c>
      <c r="H29" s="245">
        <f t="shared" si="3"/>
        <v>0</v>
      </c>
      <c r="I29" s="245">
        <f t="shared" si="4"/>
        <v>345296</v>
      </c>
      <c r="J29" s="246">
        <f t="shared" si="5"/>
        <v>0</v>
      </c>
      <c r="K29" s="247">
        <f t="shared" si="6"/>
        <v>0</v>
      </c>
      <c r="L29" s="247">
        <f t="shared" si="7"/>
        <v>0</v>
      </c>
      <c r="M29" s="248">
        <f t="shared" si="16"/>
        <v>0</v>
      </c>
      <c r="N29" s="246">
        <f t="shared" si="29"/>
        <v>0</v>
      </c>
      <c r="O29" s="246">
        <f t="shared" si="25"/>
        <v>0</v>
      </c>
      <c r="P29" s="246">
        <f t="shared" si="26"/>
        <v>0</v>
      </c>
      <c r="Q29" s="246">
        <f t="shared" si="27"/>
        <v>3.9713566750906102</v>
      </c>
      <c r="R29" s="248">
        <f t="shared" si="12"/>
        <v>0.99283916877265255</v>
      </c>
      <c r="S29" s="101"/>
    </row>
    <row r="30" spans="1:19" s="102" customFormat="1">
      <c r="A30" s="7" t="s">
        <v>322</v>
      </c>
      <c r="B30" s="156">
        <f>+B31+B32</f>
        <v>0</v>
      </c>
      <c r="C30" s="156">
        <f t="shared" ref="C30:E30" si="30">+C31+C32</f>
        <v>0</v>
      </c>
      <c r="D30" s="156">
        <f t="shared" si="30"/>
        <v>0</v>
      </c>
      <c r="E30" s="156">
        <f t="shared" si="30"/>
        <v>0</v>
      </c>
      <c r="F30" s="221">
        <f t="shared" si="1"/>
        <v>0</v>
      </c>
      <c r="G30" s="221">
        <f t="shared" si="2"/>
        <v>0</v>
      </c>
      <c r="H30" s="221">
        <f t="shared" si="3"/>
        <v>0</v>
      </c>
      <c r="I30" s="221">
        <f t="shared" si="4"/>
        <v>0</v>
      </c>
      <c r="J30" s="243">
        <f t="shared" si="5"/>
        <v>0</v>
      </c>
      <c r="K30" s="243">
        <f t="shared" si="6"/>
        <v>0</v>
      </c>
      <c r="L30" s="243">
        <f t="shared" si="7"/>
        <v>0</v>
      </c>
      <c r="M30" s="243">
        <f t="shared" si="16"/>
        <v>0</v>
      </c>
      <c r="N30" s="243">
        <f t="shared" ref="N30:N32" si="31">IFERROR((B30/B$17*100),0)</f>
        <v>0</v>
      </c>
      <c r="O30" s="243">
        <f t="shared" ref="O30:O32" si="32">IFERROR((C30/C$17*100),0)</f>
        <v>0</v>
      </c>
      <c r="P30" s="243">
        <f t="shared" ref="P30:P32" si="33">IFERROR((D30/D$17*100),0)</f>
        <v>0</v>
      </c>
      <c r="Q30" s="243">
        <f t="shared" ref="Q30:Q32" si="34">IFERROR((E30/E$17*100),0)</f>
        <v>0</v>
      </c>
      <c r="R30" s="243">
        <f t="shared" si="12"/>
        <v>0</v>
      </c>
      <c r="S30" s="101"/>
    </row>
    <row r="31" spans="1:19" s="102" customFormat="1">
      <c r="A31" s="116" t="s">
        <v>323</v>
      </c>
      <c r="B31" s="109"/>
      <c r="C31" s="109"/>
      <c r="D31" s="109"/>
      <c r="E31" s="109"/>
      <c r="F31" s="244">
        <f t="shared" si="1"/>
        <v>0</v>
      </c>
      <c r="G31" s="245">
        <f t="shared" si="2"/>
        <v>0</v>
      </c>
      <c r="H31" s="245">
        <f t="shared" si="3"/>
        <v>0</v>
      </c>
      <c r="I31" s="245">
        <f t="shared" si="4"/>
        <v>0</v>
      </c>
      <c r="J31" s="246">
        <f t="shared" si="5"/>
        <v>0</v>
      </c>
      <c r="K31" s="247">
        <f t="shared" si="6"/>
        <v>0</v>
      </c>
      <c r="L31" s="247">
        <f t="shared" si="7"/>
        <v>0</v>
      </c>
      <c r="M31" s="248">
        <f t="shared" si="16"/>
        <v>0</v>
      </c>
      <c r="N31" s="246">
        <f t="shared" si="31"/>
        <v>0</v>
      </c>
      <c r="O31" s="246">
        <f t="shared" si="32"/>
        <v>0</v>
      </c>
      <c r="P31" s="246">
        <f t="shared" si="33"/>
        <v>0</v>
      </c>
      <c r="Q31" s="246">
        <f t="shared" si="34"/>
        <v>0</v>
      </c>
      <c r="R31" s="248">
        <f t="shared" si="12"/>
        <v>0</v>
      </c>
      <c r="S31" s="101"/>
    </row>
    <row r="32" spans="1:19" s="102" customFormat="1">
      <c r="A32" s="116" t="s">
        <v>324</v>
      </c>
      <c r="B32" s="109"/>
      <c r="C32" s="109"/>
      <c r="D32" s="109"/>
      <c r="E32" s="109"/>
      <c r="F32" s="244">
        <f t="shared" si="1"/>
        <v>0</v>
      </c>
      <c r="G32" s="245">
        <f t="shared" si="2"/>
        <v>0</v>
      </c>
      <c r="H32" s="245">
        <f t="shared" si="3"/>
        <v>0</v>
      </c>
      <c r="I32" s="245">
        <f t="shared" si="4"/>
        <v>0</v>
      </c>
      <c r="J32" s="246">
        <f t="shared" si="5"/>
        <v>0</v>
      </c>
      <c r="K32" s="247">
        <f t="shared" si="6"/>
        <v>0</v>
      </c>
      <c r="L32" s="247">
        <f t="shared" si="7"/>
        <v>0</v>
      </c>
      <c r="M32" s="248">
        <f t="shared" si="16"/>
        <v>0</v>
      </c>
      <c r="N32" s="246">
        <f t="shared" si="31"/>
        <v>0</v>
      </c>
      <c r="O32" s="246">
        <f t="shared" si="32"/>
        <v>0</v>
      </c>
      <c r="P32" s="246">
        <f t="shared" si="33"/>
        <v>0</v>
      </c>
      <c r="Q32" s="246">
        <f t="shared" si="34"/>
        <v>0</v>
      </c>
      <c r="R32" s="248">
        <f t="shared" si="12"/>
        <v>0</v>
      </c>
      <c r="S32" s="101"/>
    </row>
    <row r="33" spans="1:19" s="102" customFormat="1">
      <c r="A33" s="24" t="s">
        <v>325</v>
      </c>
      <c r="B33" s="155">
        <f>+B24+(B25-B30)</f>
        <v>2997719</v>
      </c>
      <c r="C33" s="155">
        <f t="shared" ref="C33:E33" si="35">+C24+(C25-C30)</f>
        <v>4567440</v>
      </c>
      <c r="D33" s="155">
        <f t="shared" si="35"/>
        <v>7198996</v>
      </c>
      <c r="E33" s="155">
        <f t="shared" si="35"/>
        <v>7523822</v>
      </c>
      <c r="F33" s="216">
        <f t="shared" si="1"/>
        <v>3396559.5708713983</v>
      </c>
      <c r="G33" s="216">
        <f t="shared" si="2"/>
        <v>4806472.40496</v>
      </c>
      <c r="H33" s="216">
        <f t="shared" si="3"/>
        <v>7427204.1732000001</v>
      </c>
      <c r="I33" s="216">
        <f t="shared" si="4"/>
        <v>7523822</v>
      </c>
      <c r="J33" s="242">
        <f t="shared" si="5"/>
        <v>41.510028152601606</v>
      </c>
      <c r="K33" s="242">
        <f t="shared" si="6"/>
        <v>54.525055954457514</v>
      </c>
      <c r="L33" s="242">
        <f t="shared" si="7"/>
        <v>1.3008640202545108</v>
      </c>
      <c r="M33" s="242">
        <f t="shared" si="16"/>
        <v>32.445316042437874</v>
      </c>
      <c r="N33" s="242">
        <f t="shared" ref="N33:N39" si="36">IFERROR((B33/B$6*100),0)</f>
        <v>78.484920999799968</v>
      </c>
      <c r="O33" s="242">
        <f t="shared" ref="O33:O39" si="37">IFERROR((C33/C$6*100),0)</f>
        <v>82.248052941970911</v>
      </c>
      <c r="P33" s="242">
        <f t="shared" ref="P33:P39" si="38">IFERROR((D33/D$6*100),0)</f>
        <v>87.28242579080117</v>
      </c>
      <c r="Q33" s="242">
        <f t="shared" ref="Q33:Q39" si="39">IFERROR((E33/E$6*100),0)</f>
        <v>86.533816557080257</v>
      </c>
      <c r="R33" s="242">
        <f t="shared" si="12"/>
        <v>83.637304072413073</v>
      </c>
      <c r="S33" s="101"/>
    </row>
    <row r="34" spans="1:19" s="102" customFormat="1">
      <c r="A34" s="108" t="s">
        <v>326</v>
      </c>
      <c r="B34" s="109">
        <f>+B35+B38</f>
        <v>-189577</v>
      </c>
      <c r="C34" s="109">
        <f t="shared" ref="C34:E34" si="40">+C35+C38</f>
        <v>-138028</v>
      </c>
      <c r="D34" s="109">
        <f t="shared" si="40"/>
        <v>-190620</v>
      </c>
      <c r="E34" s="109">
        <f t="shared" si="40"/>
        <v>750000</v>
      </c>
      <c r="F34" s="244">
        <f t="shared" si="1"/>
        <v>-214799.8440704706</v>
      </c>
      <c r="G34" s="245">
        <f t="shared" si="2"/>
        <v>-145251.557352</v>
      </c>
      <c r="H34" s="245">
        <f t="shared" si="3"/>
        <v>-196662.65400000001</v>
      </c>
      <c r="I34" s="245">
        <f t="shared" si="4"/>
        <v>750000</v>
      </c>
      <c r="J34" s="246">
        <f t="shared" si="5"/>
        <v>-32.378183056619683</v>
      </c>
      <c r="K34" s="247">
        <f t="shared" si="6"/>
        <v>35.394523532309741</v>
      </c>
      <c r="L34" s="247">
        <f t="shared" si="7"/>
        <v>-481.36371331589987</v>
      </c>
      <c r="M34" s="248">
        <f t="shared" si="16"/>
        <v>-159.44912428006992</v>
      </c>
      <c r="N34" s="246">
        <f t="shared" si="36"/>
        <v>-4.9634191424810261</v>
      </c>
      <c r="O34" s="246">
        <f t="shared" si="37"/>
        <v>-2.4855354972313513</v>
      </c>
      <c r="P34" s="246">
        <f t="shared" si="38"/>
        <v>-2.3111244962828867</v>
      </c>
      <c r="Q34" s="246">
        <f t="shared" si="39"/>
        <v>8.6259832326987791</v>
      </c>
      <c r="R34" s="248">
        <f t="shared" si="12"/>
        <v>-0.28352397582412125</v>
      </c>
      <c r="S34" s="101"/>
    </row>
    <row r="35" spans="1:19" s="102" customFormat="1">
      <c r="A35" s="108" t="s">
        <v>327</v>
      </c>
      <c r="B35" s="109">
        <f>+B36-B37</f>
        <v>-189577</v>
      </c>
      <c r="C35" s="109">
        <f t="shared" ref="C35:E35" si="41">+C36-C37</f>
        <v>-138028</v>
      </c>
      <c r="D35" s="109">
        <f t="shared" si="41"/>
        <v>-190620</v>
      </c>
      <c r="E35" s="109">
        <f t="shared" si="41"/>
        <v>750000</v>
      </c>
      <c r="F35" s="244">
        <f t="shared" si="1"/>
        <v>-214799.8440704706</v>
      </c>
      <c r="G35" s="245">
        <f t="shared" si="2"/>
        <v>-145251.557352</v>
      </c>
      <c r="H35" s="245">
        <f t="shared" si="3"/>
        <v>-196662.65400000001</v>
      </c>
      <c r="I35" s="245">
        <f t="shared" si="4"/>
        <v>750000</v>
      </c>
      <c r="J35" s="246">
        <f t="shared" si="5"/>
        <v>-32.378183056619683</v>
      </c>
      <c r="K35" s="247">
        <f t="shared" si="6"/>
        <v>35.394523532309741</v>
      </c>
      <c r="L35" s="247">
        <f t="shared" si="7"/>
        <v>-481.36371331589987</v>
      </c>
      <c r="M35" s="248">
        <f t="shared" si="16"/>
        <v>-159.44912428006992</v>
      </c>
      <c r="N35" s="246">
        <f t="shared" si="36"/>
        <v>-4.9634191424810261</v>
      </c>
      <c r="O35" s="246">
        <f t="shared" si="37"/>
        <v>-2.4855354972313513</v>
      </c>
      <c r="P35" s="246">
        <f t="shared" si="38"/>
        <v>-2.3111244962828867</v>
      </c>
      <c r="Q35" s="246">
        <f t="shared" si="39"/>
        <v>8.6259832326987791</v>
      </c>
      <c r="R35" s="248">
        <f t="shared" si="12"/>
        <v>-0.28352397582412125</v>
      </c>
      <c r="S35" s="101"/>
    </row>
    <row r="36" spans="1:19" s="102" customFormat="1">
      <c r="A36" s="108" t="s">
        <v>328</v>
      </c>
      <c r="B36" s="109"/>
      <c r="C36" s="109"/>
      <c r="D36" s="109"/>
      <c r="E36" s="109">
        <v>750000</v>
      </c>
      <c r="F36" s="244">
        <f t="shared" si="1"/>
        <v>0</v>
      </c>
      <c r="G36" s="245">
        <f t="shared" si="2"/>
        <v>0</v>
      </c>
      <c r="H36" s="245">
        <f t="shared" si="3"/>
        <v>0</v>
      </c>
      <c r="I36" s="245">
        <f t="shared" si="4"/>
        <v>750000</v>
      </c>
      <c r="J36" s="246">
        <f t="shared" si="5"/>
        <v>0</v>
      </c>
      <c r="K36" s="247">
        <f t="shared" si="6"/>
        <v>0</v>
      </c>
      <c r="L36" s="247">
        <f t="shared" si="7"/>
        <v>0</v>
      </c>
      <c r="M36" s="248">
        <f t="shared" si="16"/>
        <v>0</v>
      </c>
      <c r="N36" s="246">
        <f t="shared" si="36"/>
        <v>0</v>
      </c>
      <c r="O36" s="246">
        <f t="shared" si="37"/>
        <v>0</v>
      </c>
      <c r="P36" s="246">
        <f t="shared" si="38"/>
        <v>0</v>
      </c>
      <c r="Q36" s="246">
        <f t="shared" si="39"/>
        <v>8.6259832326987791</v>
      </c>
      <c r="R36" s="248">
        <f t="shared" si="12"/>
        <v>2.1564958081746948</v>
      </c>
      <c r="S36" s="101"/>
    </row>
    <row r="37" spans="1:19" s="102" customFormat="1">
      <c r="A37" s="108" t="s">
        <v>329</v>
      </c>
      <c r="B37" s="109">
        <v>189577</v>
      </c>
      <c r="C37" s="109">
        <v>138028</v>
      </c>
      <c r="D37" s="109">
        <v>190620</v>
      </c>
      <c r="E37" s="109"/>
      <c r="F37" s="244">
        <f t="shared" si="1"/>
        <v>214799.8440704706</v>
      </c>
      <c r="G37" s="245">
        <f t="shared" si="2"/>
        <v>145251.557352</v>
      </c>
      <c r="H37" s="245">
        <f t="shared" si="3"/>
        <v>196662.65400000001</v>
      </c>
      <c r="I37" s="245">
        <f t="shared" si="4"/>
        <v>0</v>
      </c>
      <c r="J37" s="246">
        <f t="shared" si="5"/>
        <v>-32.378183056619683</v>
      </c>
      <c r="K37" s="247">
        <f t="shared" si="6"/>
        <v>35.394523532309741</v>
      </c>
      <c r="L37" s="247">
        <f t="shared" si="7"/>
        <v>-100</v>
      </c>
      <c r="M37" s="248">
        <f t="shared" si="16"/>
        <v>-32.327886508103312</v>
      </c>
      <c r="N37" s="246">
        <f t="shared" si="36"/>
        <v>4.9634191424810261</v>
      </c>
      <c r="O37" s="246">
        <f t="shared" si="37"/>
        <v>2.4855354972313513</v>
      </c>
      <c r="P37" s="246">
        <f t="shared" si="38"/>
        <v>2.3111244962828867</v>
      </c>
      <c r="Q37" s="246">
        <f t="shared" si="39"/>
        <v>0</v>
      </c>
      <c r="R37" s="248">
        <f t="shared" si="12"/>
        <v>2.440019783998816</v>
      </c>
      <c r="S37" s="101"/>
    </row>
    <row r="38" spans="1:19" s="102" customFormat="1">
      <c r="A38" s="108" t="s">
        <v>330</v>
      </c>
      <c r="B38" s="109"/>
      <c r="C38" s="109"/>
      <c r="D38" s="109"/>
      <c r="E38" s="109"/>
      <c r="F38" s="244">
        <f t="shared" si="1"/>
        <v>0</v>
      </c>
      <c r="G38" s="245">
        <f t="shared" si="2"/>
        <v>0</v>
      </c>
      <c r="H38" s="245">
        <f t="shared" si="3"/>
        <v>0</v>
      </c>
      <c r="I38" s="245">
        <f t="shared" si="4"/>
        <v>0</v>
      </c>
      <c r="J38" s="246">
        <f t="shared" si="5"/>
        <v>0</v>
      </c>
      <c r="K38" s="247">
        <f t="shared" si="6"/>
        <v>0</v>
      </c>
      <c r="L38" s="247">
        <f t="shared" si="7"/>
        <v>0</v>
      </c>
      <c r="M38" s="248">
        <f t="shared" si="16"/>
        <v>0</v>
      </c>
      <c r="N38" s="246">
        <f t="shared" si="36"/>
        <v>0</v>
      </c>
      <c r="O38" s="246">
        <f t="shared" si="37"/>
        <v>0</v>
      </c>
      <c r="P38" s="246">
        <f t="shared" si="38"/>
        <v>0</v>
      </c>
      <c r="Q38" s="246">
        <f t="shared" si="39"/>
        <v>0</v>
      </c>
      <c r="R38" s="248">
        <f t="shared" si="12"/>
        <v>0</v>
      </c>
      <c r="S38" s="101"/>
    </row>
    <row r="39" spans="1:19" s="102" customFormat="1">
      <c r="A39" s="24" t="s">
        <v>331</v>
      </c>
      <c r="B39" s="259">
        <f>+B37+C37+D37</f>
        <v>518225</v>
      </c>
      <c r="C39" s="259">
        <f>+C37+D37</f>
        <v>328648</v>
      </c>
      <c r="D39" s="259">
        <f>+D37</f>
        <v>190620</v>
      </c>
      <c r="E39" s="259">
        <f>+E36</f>
        <v>750000</v>
      </c>
      <c r="F39" s="216">
        <f t="shared" si="1"/>
        <v>587173.80902440497</v>
      </c>
      <c r="G39" s="216">
        <f t="shared" si="2"/>
        <v>345847.46443200001</v>
      </c>
      <c r="H39" s="216">
        <f t="shared" si="3"/>
        <v>196662.65400000001</v>
      </c>
      <c r="I39" s="216">
        <f t="shared" si="4"/>
        <v>750000</v>
      </c>
      <c r="J39" s="242">
        <f t="shared" si="5"/>
        <v>-41.099643901585303</v>
      </c>
      <c r="K39" s="242">
        <f t="shared" si="6"/>
        <v>-43.136013929439251</v>
      </c>
      <c r="L39" s="242">
        <f t="shared" si="7"/>
        <v>281.36371331589982</v>
      </c>
      <c r="M39" s="242">
        <f t="shared" si="16"/>
        <v>65.709351828291759</v>
      </c>
      <c r="N39" s="242">
        <f t="shared" si="36"/>
        <v>13.567932212832936</v>
      </c>
      <c r="O39" s="242">
        <f t="shared" si="37"/>
        <v>5.9181200198082209</v>
      </c>
      <c r="P39" s="242">
        <f t="shared" si="38"/>
        <v>2.3111244962828867</v>
      </c>
      <c r="Q39" s="242">
        <f t="shared" si="39"/>
        <v>8.6259832326987791</v>
      </c>
      <c r="R39" s="242">
        <f t="shared" si="12"/>
        <v>7.6057899904057056</v>
      </c>
      <c r="S39" s="101"/>
    </row>
    <row r="40" spans="1:19">
      <c r="A40" s="117" t="s">
        <v>332</v>
      </c>
      <c r="B40" s="117"/>
      <c r="C40" s="118"/>
      <c r="D40" s="119"/>
      <c r="E40" s="120"/>
    </row>
    <row r="41" spans="1:19">
      <c r="A41" s="121" t="s">
        <v>333</v>
      </c>
      <c r="C41" s="122"/>
      <c r="E41" s="120"/>
    </row>
    <row r="42" spans="1:19">
      <c r="C42" s="122"/>
      <c r="E42" s="120"/>
    </row>
    <row r="43" spans="1:19">
      <c r="C43" s="122"/>
      <c r="E43" s="120"/>
    </row>
    <row r="44" spans="1:19">
      <c r="C44" s="122"/>
      <c r="E44" s="120"/>
    </row>
    <row r="45" spans="1:19">
      <c r="C45" s="122"/>
      <c r="E45" s="120"/>
    </row>
    <row r="46" spans="1:19">
      <c r="C46" s="122"/>
      <c r="E46" s="120"/>
    </row>
    <row r="47" spans="1:19">
      <c r="C47" s="122"/>
      <c r="E47" s="120"/>
    </row>
    <row r="48" spans="1:19">
      <c r="C48" s="122"/>
      <c r="E48" s="120"/>
    </row>
    <row r="49" spans="3:5">
      <c r="C49" s="122"/>
      <c r="E49" s="120"/>
    </row>
    <row r="50" spans="3:5">
      <c r="C50" s="122"/>
      <c r="E50" s="120"/>
    </row>
    <row r="51" spans="3:5">
      <c r="C51" s="122"/>
      <c r="E51" s="120"/>
    </row>
    <row r="52" spans="3:5">
      <c r="C52" s="122"/>
      <c r="E52" s="120"/>
    </row>
    <row r="53" spans="3:5">
      <c r="C53" s="122"/>
      <c r="E53" s="120"/>
    </row>
    <row r="54" spans="3:5">
      <c r="C54" s="122"/>
      <c r="E54" s="120"/>
    </row>
    <row r="55" spans="3:5">
      <c r="C55" s="122"/>
      <c r="E55" s="120"/>
    </row>
    <row r="56" spans="3:5">
      <c r="C56" s="122"/>
      <c r="E56" s="120"/>
    </row>
    <row r="57" spans="3:5">
      <c r="C57" s="122"/>
      <c r="E57" s="120"/>
    </row>
    <row r="58" spans="3:5">
      <c r="C58" s="122"/>
      <c r="E58" s="120"/>
    </row>
    <row r="59" spans="3:5">
      <c r="C59" s="122"/>
      <c r="E59" s="120"/>
    </row>
    <row r="60" spans="3:5">
      <c r="C60" s="122"/>
      <c r="E60" s="120"/>
    </row>
    <row r="61" spans="3:5">
      <c r="C61" s="122"/>
      <c r="E61" s="120"/>
    </row>
    <row r="62" spans="3:5">
      <c r="E62" s="120"/>
    </row>
  </sheetData>
  <hyperlinks>
    <hyperlink ref="A4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codeName="Hoja1">
    <pageSetUpPr fitToPage="1"/>
  </sheetPr>
  <dimension ref="A1:M120"/>
  <sheetViews>
    <sheetView workbookViewId="0">
      <pane ySplit="3" topLeftCell="A97" activePane="bottomLeft" state="frozen"/>
      <selection activeCell="C1" sqref="C1"/>
      <selection pane="bottomLeft" activeCell="C107" sqref="C107"/>
    </sheetView>
  </sheetViews>
  <sheetFormatPr baseColWidth="10" defaultRowHeight="15"/>
  <cols>
    <col min="1" max="1" width="12.42578125" style="1" bestFit="1" customWidth="1"/>
    <col min="2" max="2" width="57.7109375" style="2" customWidth="1"/>
    <col min="3" max="3" width="11.7109375" style="3" customWidth="1"/>
    <col min="4" max="13" width="11.7109375" customWidth="1"/>
  </cols>
  <sheetData>
    <row r="1" spans="1:13" ht="15.75">
      <c r="A1" s="264" t="s">
        <v>554</v>
      </c>
      <c r="B1" s="264"/>
      <c r="C1" s="264"/>
    </row>
    <row r="2" spans="1:13" ht="15.75">
      <c r="A2" s="157" t="str">
        <f>'Datos '!B6&amp;" - "&amp;+'Datos '!B4</f>
        <v>TESALIA - HUILA</v>
      </c>
      <c r="B2" s="159"/>
      <c r="C2" s="159"/>
      <c r="D2" s="194"/>
    </row>
    <row r="3" spans="1:13" ht="25.5" customHeight="1">
      <c r="A3" s="26" t="s">
        <v>0</v>
      </c>
      <c r="B3" s="26" t="s">
        <v>24</v>
      </c>
      <c r="C3" s="27">
        <v>2011</v>
      </c>
      <c r="D3" s="27">
        <v>2012</v>
      </c>
      <c r="E3" s="27">
        <v>2013</v>
      </c>
      <c r="F3" s="27">
        <v>2014</v>
      </c>
      <c r="G3" s="27">
        <v>2015</v>
      </c>
      <c r="H3" s="27">
        <v>2016</v>
      </c>
      <c r="I3" s="27">
        <v>2017</v>
      </c>
      <c r="J3" s="27">
        <v>2018</v>
      </c>
      <c r="K3" s="27">
        <v>2019</v>
      </c>
      <c r="L3" s="27">
        <v>2020</v>
      </c>
      <c r="M3" s="27">
        <v>2021</v>
      </c>
    </row>
    <row r="4" spans="1:13">
      <c r="A4" s="24" t="s">
        <v>25</v>
      </c>
      <c r="B4" s="25" t="s">
        <v>26</v>
      </c>
      <c r="C4" s="186">
        <f t="shared" ref="C4:D4" si="0">C5+C74</f>
        <v>10333440.030000001</v>
      </c>
      <c r="D4" s="186">
        <f t="shared" si="0"/>
        <v>6477123.3270000005</v>
      </c>
      <c r="E4" s="186">
        <f t="shared" ref="E4" si="1">E5+E74</f>
        <v>6736207</v>
      </c>
      <c r="F4" s="186">
        <f t="shared" ref="F4" si="2">F5+F74</f>
        <v>7005656</v>
      </c>
      <c r="G4" s="186">
        <f t="shared" ref="G4" si="3">G5+G74</f>
        <v>7285881</v>
      </c>
      <c r="H4" s="186">
        <f t="shared" ref="H4" si="4">H5+H74</f>
        <v>7577316</v>
      </c>
      <c r="I4" s="186">
        <f t="shared" ref="I4" si="5">I5+I74</f>
        <v>7880409</v>
      </c>
      <c r="J4" s="186">
        <f t="shared" ref="J4" si="6">J5+J74</f>
        <v>8195626</v>
      </c>
      <c r="K4" s="186">
        <f t="shared" ref="K4" si="7">K5+K74</f>
        <v>8523451</v>
      </c>
      <c r="L4" s="186">
        <f t="shared" ref="L4" si="8">L5+L74</f>
        <v>8864392</v>
      </c>
      <c r="M4" s="186">
        <f t="shared" ref="M4" si="9">M5+M74</f>
        <v>9218969</v>
      </c>
    </row>
    <row r="5" spans="1:13">
      <c r="A5" s="6" t="s">
        <v>27</v>
      </c>
      <c r="B5" s="7" t="s">
        <v>28</v>
      </c>
      <c r="C5" s="187">
        <f t="shared" ref="C5" si="10">C6+C19+C22</f>
        <v>6454787.5450000009</v>
      </c>
      <c r="D5" s="187">
        <f t="shared" ref="D5" si="11">D6+D19+D22</f>
        <v>5567280.2510000002</v>
      </c>
      <c r="E5" s="187">
        <f t="shared" ref="E5" si="12">E6+E19+E22</f>
        <v>5789970</v>
      </c>
      <c r="F5" s="187">
        <f t="shared" ref="F5" si="13">F6+F19+F22</f>
        <v>6021569</v>
      </c>
      <c r="G5" s="187">
        <f t="shared" ref="G5" si="14">G6+G19+G22</f>
        <v>6262431</v>
      </c>
      <c r="H5" s="187">
        <f t="shared" ref="H5" si="15">H6+H19+H22</f>
        <v>6512927</v>
      </c>
      <c r="I5" s="187">
        <f t="shared" ref="I5" si="16">I6+I19+I22</f>
        <v>6773444</v>
      </c>
      <c r="J5" s="187">
        <f t="shared" ref="J5" si="17">J6+J19+J22</f>
        <v>7044382</v>
      </c>
      <c r="K5" s="187">
        <f t="shared" ref="K5" si="18">K6+K19+K22</f>
        <v>7326158</v>
      </c>
      <c r="L5" s="187">
        <f t="shared" ref="L5" si="19">L6+L19+L22</f>
        <v>7619206</v>
      </c>
      <c r="M5" s="187">
        <f t="shared" ref="M5" si="20">M6+M19+M22</f>
        <v>7923976</v>
      </c>
    </row>
    <row r="6" spans="1:13">
      <c r="A6" s="6" t="s">
        <v>29</v>
      </c>
      <c r="B6" s="7" t="s">
        <v>30</v>
      </c>
      <c r="C6" s="187">
        <f t="shared" ref="C6" si="21">SUM(C7:C18)</f>
        <v>1655758.571</v>
      </c>
      <c r="D6" s="187">
        <f t="shared" ref="D6" si="22">SUM(D7:D18)</f>
        <v>975057</v>
      </c>
      <c r="E6" s="187">
        <f t="shared" ref="E6" si="23">SUM(E7:E18)</f>
        <v>1014059</v>
      </c>
      <c r="F6" s="187">
        <f t="shared" ref="F6" si="24">SUM(F7:F18)</f>
        <v>1054621</v>
      </c>
      <c r="G6" s="187">
        <f t="shared" ref="G6" si="25">SUM(G7:G18)</f>
        <v>1096806</v>
      </c>
      <c r="H6" s="187">
        <f t="shared" ref="H6" si="26">SUM(H7:H18)</f>
        <v>1140678</v>
      </c>
      <c r="I6" s="187">
        <f t="shared" ref="I6" si="27">SUM(I7:I18)</f>
        <v>1186305</v>
      </c>
      <c r="J6" s="187">
        <f t="shared" ref="J6" si="28">SUM(J7:J18)</f>
        <v>1233757</v>
      </c>
      <c r="K6" s="187">
        <f t="shared" ref="K6" si="29">SUM(K7:K18)</f>
        <v>1283108</v>
      </c>
      <c r="L6" s="187">
        <f t="shared" ref="L6" si="30">SUM(L7:L18)</f>
        <v>1334433</v>
      </c>
      <c r="M6" s="187">
        <f t="shared" ref="M6" si="31">SUM(M7:M18)</f>
        <v>1387811</v>
      </c>
    </row>
    <row r="7" spans="1:13">
      <c r="A7" s="10" t="s">
        <v>31</v>
      </c>
      <c r="B7" s="11" t="s">
        <v>32</v>
      </c>
      <c r="C7" s="185"/>
      <c r="D7" s="185"/>
      <c r="E7" s="185"/>
      <c r="F7" s="185"/>
      <c r="G7" s="185"/>
      <c r="H7" s="185"/>
      <c r="I7" s="185"/>
      <c r="J7" s="185"/>
      <c r="K7" s="185"/>
      <c r="L7" s="185"/>
      <c r="M7" s="185"/>
    </row>
    <row r="8" spans="1:13">
      <c r="A8" s="10" t="s">
        <v>33</v>
      </c>
      <c r="B8" s="11" t="s">
        <v>34</v>
      </c>
      <c r="C8" s="185">
        <v>147299.07999999999</v>
      </c>
      <c r="D8" s="185">
        <v>130000</v>
      </c>
      <c r="E8" s="185">
        <f>+ROUND((D8*1.04),0)</f>
        <v>135200</v>
      </c>
      <c r="F8" s="185">
        <f t="shared" ref="F8:M9" si="32">+ROUND((E8*1.04),0)</f>
        <v>140608</v>
      </c>
      <c r="G8" s="185">
        <f t="shared" si="32"/>
        <v>146232</v>
      </c>
      <c r="H8" s="185">
        <f t="shared" si="32"/>
        <v>152081</v>
      </c>
      <c r="I8" s="185">
        <f t="shared" si="32"/>
        <v>158164</v>
      </c>
      <c r="J8" s="185">
        <f t="shared" si="32"/>
        <v>164491</v>
      </c>
      <c r="K8" s="185">
        <f t="shared" si="32"/>
        <v>171071</v>
      </c>
      <c r="L8" s="185">
        <f t="shared" si="32"/>
        <v>177914</v>
      </c>
      <c r="M8" s="185">
        <f t="shared" si="32"/>
        <v>185031</v>
      </c>
    </row>
    <row r="9" spans="1:13" ht="15.75" customHeight="1">
      <c r="A9" s="10" t="s">
        <v>35</v>
      </c>
      <c r="B9" s="11" t="s">
        <v>36</v>
      </c>
      <c r="C9" s="185">
        <v>1017388.178</v>
      </c>
      <c r="D9" s="185">
        <v>525000</v>
      </c>
      <c r="E9" s="185">
        <f>+ROUND((D9*1.04),0)</f>
        <v>546000</v>
      </c>
      <c r="F9" s="185">
        <f t="shared" si="32"/>
        <v>567840</v>
      </c>
      <c r="G9" s="185">
        <f t="shared" si="32"/>
        <v>590554</v>
      </c>
      <c r="H9" s="185">
        <f t="shared" si="32"/>
        <v>614176</v>
      </c>
      <c r="I9" s="185">
        <f t="shared" si="32"/>
        <v>638743</v>
      </c>
      <c r="J9" s="185">
        <f t="shared" si="32"/>
        <v>664293</v>
      </c>
      <c r="K9" s="185">
        <f t="shared" si="32"/>
        <v>690865</v>
      </c>
      <c r="L9" s="185">
        <f t="shared" si="32"/>
        <v>718500</v>
      </c>
      <c r="M9" s="185">
        <f t="shared" si="32"/>
        <v>747240</v>
      </c>
    </row>
    <row r="10" spans="1:13">
      <c r="A10" s="10" t="s">
        <v>37</v>
      </c>
      <c r="B10" s="11" t="s">
        <v>38</v>
      </c>
      <c r="C10" s="185"/>
      <c r="D10" s="185"/>
      <c r="E10" s="185"/>
      <c r="F10" s="185"/>
      <c r="G10" s="185"/>
      <c r="H10" s="185"/>
      <c r="I10" s="185"/>
      <c r="J10" s="185"/>
      <c r="K10" s="185"/>
      <c r="L10" s="185"/>
      <c r="M10" s="185"/>
    </row>
    <row r="11" spans="1:13">
      <c r="A11" s="10" t="s">
        <v>39</v>
      </c>
      <c r="B11" s="11" t="s">
        <v>40</v>
      </c>
      <c r="C11" s="185"/>
      <c r="D11" s="185"/>
      <c r="E11" s="185"/>
      <c r="F11" s="185"/>
      <c r="G11" s="185"/>
      <c r="H11" s="185"/>
      <c r="I11" s="185"/>
      <c r="J11" s="185"/>
      <c r="K11" s="185"/>
      <c r="L11" s="185"/>
      <c r="M11" s="185"/>
    </row>
    <row r="12" spans="1:13">
      <c r="A12" s="10" t="s">
        <v>41</v>
      </c>
      <c r="B12" s="11" t="s">
        <v>42</v>
      </c>
      <c r="C12" s="185"/>
      <c r="D12" s="185"/>
      <c r="E12" s="185"/>
      <c r="F12" s="185"/>
      <c r="G12" s="185"/>
      <c r="H12" s="185"/>
      <c r="I12" s="185"/>
      <c r="J12" s="185"/>
      <c r="K12" s="185"/>
      <c r="L12" s="185"/>
      <c r="M12" s="185"/>
    </row>
    <row r="13" spans="1:13">
      <c r="A13" s="10" t="s">
        <v>43</v>
      </c>
      <c r="B13" s="11" t="s">
        <v>44</v>
      </c>
      <c r="C13" s="185"/>
      <c r="D13" s="185"/>
      <c r="E13" s="185"/>
      <c r="F13" s="185"/>
      <c r="G13" s="185"/>
      <c r="H13" s="185"/>
      <c r="I13" s="185"/>
      <c r="J13" s="185"/>
      <c r="K13" s="185"/>
      <c r="L13" s="185"/>
      <c r="M13" s="185"/>
    </row>
    <row r="14" spans="1:13">
      <c r="A14" s="10" t="s">
        <v>45</v>
      </c>
      <c r="B14" s="11" t="s">
        <v>46</v>
      </c>
      <c r="C14" s="185">
        <v>234372</v>
      </c>
      <c r="D14" s="185">
        <v>200000</v>
      </c>
      <c r="E14" s="185">
        <f>+ROUND((D14*1.04),0)</f>
        <v>208000</v>
      </c>
      <c r="F14" s="185">
        <f t="shared" ref="F14:M15" si="33">+ROUND((E14*1.04),0)</f>
        <v>216320</v>
      </c>
      <c r="G14" s="185">
        <f t="shared" si="33"/>
        <v>224973</v>
      </c>
      <c r="H14" s="185">
        <f t="shared" si="33"/>
        <v>233972</v>
      </c>
      <c r="I14" s="185">
        <f t="shared" si="33"/>
        <v>243331</v>
      </c>
      <c r="J14" s="185">
        <f t="shared" si="33"/>
        <v>253064</v>
      </c>
      <c r="K14" s="185">
        <f t="shared" si="33"/>
        <v>263187</v>
      </c>
      <c r="L14" s="185">
        <f t="shared" si="33"/>
        <v>273714</v>
      </c>
      <c r="M14" s="185">
        <f t="shared" si="33"/>
        <v>284663</v>
      </c>
    </row>
    <row r="15" spans="1:13">
      <c r="A15" s="10" t="s">
        <v>47</v>
      </c>
      <c r="B15" s="11" t="s">
        <v>48</v>
      </c>
      <c r="C15" s="185">
        <v>66284.800000000003</v>
      </c>
      <c r="D15" s="185">
        <v>20000</v>
      </c>
      <c r="E15" s="185">
        <f>+ROUND((D15*1.04),0)</f>
        <v>20800</v>
      </c>
      <c r="F15" s="185">
        <f t="shared" si="33"/>
        <v>21632</v>
      </c>
      <c r="G15" s="185">
        <f t="shared" si="33"/>
        <v>22497</v>
      </c>
      <c r="H15" s="185">
        <f t="shared" si="33"/>
        <v>23397</v>
      </c>
      <c r="I15" s="185">
        <f t="shared" si="33"/>
        <v>24333</v>
      </c>
      <c r="J15" s="185">
        <f t="shared" si="33"/>
        <v>25306</v>
      </c>
      <c r="K15" s="185">
        <f t="shared" si="33"/>
        <v>26318</v>
      </c>
      <c r="L15" s="185">
        <f t="shared" si="33"/>
        <v>27371</v>
      </c>
      <c r="M15" s="185">
        <f t="shared" si="33"/>
        <v>28466</v>
      </c>
    </row>
    <row r="16" spans="1:13">
      <c r="A16" s="10" t="s">
        <v>49</v>
      </c>
      <c r="B16" s="11" t="s">
        <v>50</v>
      </c>
      <c r="C16" s="185"/>
      <c r="D16" s="185"/>
      <c r="E16" s="185"/>
      <c r="F16" s="185"/>
      <c r="G16" s="185"/>
      <c r="H16" s="185"/>
      <c r="I16" s="185"/>
      <c r="J16" s="185"/>
      <c r="K16" s="185"/>
      <c r="L16" s="185"/>
      <c r="M16" s="185"/>
    </row>
    <row r="17" spans="1:13">
      <c r="A17" s="10" t="s">
        <v>51</v>
      </c>
      <c r="B17" s="11" t="s">
        <v>52</v>
      </c>
      <c r="C17" s="185"/>
      <c r="D17" s="185"/>
      <c r="E17" s="185"/>
      <c r="F17" s="185"/>
      <c r="G17" s="185"/>
      <c r="H17" s="185"/>
      <c r="I17" s="185"/>
      <c r="J17" s="185"/>
      <c r="K17" s="185"/>
      <c r="L17" s="185"/>
      <c r="M17" s="185"/>
    </row>
    <row r="18" spans="1:13">
      <c r="A18" s="10" t="s">
        <v>53</v>
      </c>
      <c r="B18" s="11" t="s">
        <v>54</v>
      </c>
      <c r="C18" s="185">
        <f>1655758.571-C8-C9-C14-C15</f>
        <v>190414.51299999998</v>
      </c>
      <c r="D18" s="185">
        <v>100057</v>
      </c>
      <c r="E18" s="185">
        <f>+ROUND((D18*1.04),0)</f>
        <v>104059</v>
      </c>
      <c r="F18" s="185">
        <f t="shared" ref="F18:M18" si="34">+ROUND((E18*1.04),0)</f>
        <v>108221</v>
      </c>
      <c r="G18" s="185">
        <f t="shared" si="34"/>
        <v>112550</v>
      </c>
      <c r="H18" s="185">
        <f t="shared" si="34"/>
        <v>117052</v>
      </c>
      <c r="I18" s="185">
        <f t="shared" si="34"/>
        <v>121734</v>
      </c>
      <c r="J18" s="185">
        <f t="shared" si="34"/>
        <v>126603</v>
      </c>
      <c r="K18" s="185">
        <f t="shared" si="34"/>
        <v>131667</v>
      </c>
      <c r="L18" s="185">
        <f t="shared" si="34"/>
        <v>136934</v>
      </c>
      <c r="M18" s="185">
        <f t="shared" si="34"/>
        <v>142411</v>
      </c>
    </row>
    <row r="19" spans="1:13">
      <c r="A19" s="6" t="s">
        <v>55</v>
      </c>
      <c r="B19" s="7" t="s">
        <v>56</v>
      </c>
      <c r="C19" s="187">
        <f t="shared" ref="C19" si="35">SUM(C20:C21)</f>
        <v>163156.128</v>
      </c>
      <c r="D19" s="187">
        <f t="shared" ref="D19" si="36">SUM(D20:D21)</f>
        <v>110024</v>
      </c>
      <c r="E19" s="187">
        <f t="shared" ref="E19" si="37">SUM(E20:E21)</f>
        <v>114425</v>
      </c>
      <c r="F19" s="187">
        <f t="shared" ref="F19" si="38">SUM(F20:F21)</f>
        <v>119002</v>
      </c>
      <c r="G19" s="187">
        <f t="shared" ref="G19" si="39">SUM(G20:G21)</f>
        <v>123762</v>
      </c>
      <c r="H19" s="187">
        <f t="shared" ref="H19" si="40">SUM(H20:H21)</f>
        <v>128712</v>
      </c>
      <c r="I19" s="187">
        <f t="shared" ref="I19" si="41">SUM(I20:I21)</f>
        <v>133861</v>
      </c>
      <c r="J19" s="187">
        <f t="shared" ref="J19" si="42">SUM(J20:J21)</f>
        <v>139215</v>
      </c>
      <c r="K19" s="187">
        <f t="shared" ref="K19" si="43">SUM(K20:K21)</f>
        <v>144784</v>
      </c>
      <c r="L19" s="187">
        <f t="shared" ref="L19" si="44">SUM(L20:L21)</f>
        <v>150575</v>
      </c>
      <c r="M19" s="187">
        <f t="shared" ref="M19" si="45">SUM(M20:M21)</f>
        <v>156598</v>
      </c>
    </row>
    <row r="20" spans="1:13">
      <c r="A20" s="10" t="s">
        <v>57</v>
      </c>
      <c r="B20" s="11" t="s">
        <v>58</v>
      </c>
      <c r="C20" s="185">
        <f>141414.736+301.45+12558.675</f>
        <v>154274.861</v>
      </c>
      <c r="D20" s="185">
        <v>73016</v>
      </c>
      <c r="E20" s="185">
        <f>+ROUND((D20*1.04),0)</f>
        <v>75937</v>
      </c>
      <c r="F20" s="185">
        <f t="shared" ref="F20:M21" si="46">+ROUND((E20*1.04),0)</f>
        <v>78974</v>
      </c>
      <c r="G20" s="185">
        <f t="shared" si="46"/>
        <v>82133</v>
      </c>
      <c r="H20" s="185">
        <f t="shared" si="46"/>
        <v>85418</v>
      </c>
      <c r="I20" s="185">
        <f t="shared" si="46"/>
        <v>88835</v>
      </c>
      <c r="J20" s="185">
        <f t="shared" si="46"/>
        <v>92388</v>
      </c>
      <c r="K20" s="185">
        <f t="shared" si="46"/>
        <v>96084</v>
      </c>
      <c r="L20" s="185">
        <f t="shared" si="46"/>
        <v>99927</v>
      </c>
      <c r="M20" s="185">
        <f t="shared" si="46"/>
        <v>103924</v>
      </c>
    </row>
    <row r="21" spans="1:13">
      <c r="A21" s="10" t="s">
        <v>59</v>
      </c>
      <c r="B21" s="11" t="s">
        <v>60</v>
      </c>
      <c r="C21" s="185">
        <v>8881.2669999999998</v>
      </c>
      <c r="D21" s="185">
        <f>10001+20003+2000+3+5001</f>
        <v>37008</v>
      </c>
      <c r="E21" s="185">
        <f>+ROUND((D21*1.04),0)</f>
        <v>38488</v>
      </c>
      <c r="F21" s="185">
        <f t="shared" si="46"/>
        <v>40028</v>
      </c>
      <c r="G21" s="185">
        <f t="shared" si="46"/>
        <v>41629</v>
      </c>
      <c r="H21" s="185">
        <f t="shared" si="46"/>
        <v>43294</v>
      </c>
      <c r="I21" s="185">
        <f t="shared" si="46"/>
        <v>45026</v>
      </c>
      <c r="J21" s="185">
        <f t="shared" si="46"/>
        <v>46827</v>
      </c>
      <c r="K21" s="185">
        <f t="shared" si="46"/>
        <v>48700</v>
      </c>
      <c r="L21" s="185">
        <f t="shared" si="46"/>
        <v>50648</v>
      </c>
      <c r="M21" s="185">
        <f t="shared" si="46"/>
        <v>52674</v>
      </c>
    </row>
    <row r="22" spans="1:13">
      <c r="A22" s="6" t="s">
        <v>61</v>
      </c>
      <c r="B22" s="7" t="s">
        <v>62</v>
      </c>
      <c r="C22" s="187">
        <f t="shared" ref="C22" si="47">C23+C31</f>
        <v>4635872.8460000008</v>
      </c>
      <c r="D22" s="187">
        <f t="shared" ref="D22" si="48">D23+D31</f>
        <v>4482199.2510000002</v>
      </c>
      <c r="E22" s="187">
        <f t="shared" ref="E22" si="49">E23+E31</f>
        <v>4661486</v>
      </c>
      <c r="F22" s="187">
        <f t="shared" ref="F22" si="50">F23+F31</f>
        <v>4847946</v>
      </c>
      <c r="G22" s="187">
        <f t="shared" ref="G22" si="51">G23+G31</f>
        <v>5041863</v>
      </c>
      <c r="H22" s="187">
        <f t="shared" ref="H22" si="52">H23+H31</f>
        <v>5243537</v>
      </c>
      <c r="I22" s="187">
        <f t="shared" ref="I22" si="53">I23+I31</f>
        <v>5453278</v>
      </c>
      <c r="J22" s="187">
        <f t="shared" ref="J22" si="54">J23+J31</f>
        <v>5671410</v>
      </c>
      <c r="K22" s="187">
        <f t="shared" ref="K22" si="55">K23+K31</f>
        <v>5898266</v>
      </c>
      <c r="L22" s="187">
        <f t="shared" ref="L22" si="56">L23+L31</f>
        <v>6134198</v>
      </c>
      <c r="M22" s="187">
        <f t="shared" ref="M22" si="57">M23+M31</f>
        <v>6379567</v>
      </c>
    </row>
    <row r="23" spans="1:13">
      <c r="A23" s="10" t="s">
        <v>63</v>
      </c>
      <c r="B23" s="11" t="s">
        <v>64</v>
      </c>
      <c r="C23" s="185">
        <f>+C24+C27+C30</f>
        <v>558116.46299999999</v>
      </c>
      <c r="D23" s="185">
        <f t="shared" ref="D23:M23" si="58">+D24+D27+D30</f>
        <v>650858.85499999998</v>
      </c>
      <c r="E23" s="185">
        <f t="shared" si="58"/>
        <v>676893</v>
      </c>
      <c r="F23" s="185">
        <f t="shared" si="58"/>
        <v>703969</v>
      </c>
      <c r="G23" s="185">
        <f t="shared" si="58"/>
        <v>732127</v>
      </c>
      <c r="H23" s="185">
        <f t="shared" si="58"/>
        <v>761412</v>
      </c>
      <c r="I23" s="185">
        <f t="shared" si="58"/>
        <v>791868</v>
      </c>
      <c r="J23" s="185">
        <f t="shared" si="58"/>
        <v>823543</v>
      </c>
      <c r="K23" s="185">
        <f t="shared" si="58"/>
        <v>856485</v>
      </c>
      <c r="L23" s="185">
        <f t="shared" si="58"/>
        <v>890745</v>
      </c>
      <c r="M23" s="185">
        <f t="shared" si="58"/>
        <v>926375</v>
      </c>
    </row>
    <row r="24" spans="1:13">
      <c r="A24" s="10" t="s">
        <v>65</v>
      </c>
      <c r="B24" s="11" t="s">
        <v>66</v>
      </c>
      <c r="C24" s="185">
        <f>+C25</f>
        <v>558116.46299999999</v>
      </c>
      <c r="D24" s="185">
        <f>+D25+D26</f>
        <v>650858.85499999998</v>
      </c>
      <c r="E24" s="185">
        <f t="shared" ref="E24:M24" si="59">+E25+E26</f>
        <v>676893</v>
      </c>
      <c r="F24" s="185">
        <f t="shared" si="59"/>
        <v>703969</v>
      </c>
      <c r="G24" s="185">
        <f t="shared" si="59"/>
        <v>732127</v>
      </c>
      <c r="H24" s="185">
        <f t="shared" si="59"/>
        <v>761412</v>
      </c>
      <c r="I24" s="185">
        <f t="shared" si="59"/>
        <v>791868</v>
      </c>
      <c r="J24" s="185">
        <f t="shared" si="59"/>
        <v>823543</v>
      </c>
      <c r="K24" s="185">
        <f t="shared" si="59"/>
        <v>856485</v>
      </c>
      <c r="L24" s="185">
        <f t="shared" si="59"/>
        <v>890745</v>
      </c>
      <c r="M24" s="185">
        <f t="shared" si="59"/>
        <v>926375</v>
      </c>
    </row>
    <row r="25" spans="1:13" ht="16.5" customHeight="1">
      <c r="A25" s="10" t="s">
        <v>67</v>
      </c>
      <c r="B25" s="11" t="s">
        <v>548</v>
      </c>
      <c r="C25" s="185">
        <v>558116.46299999999</v>
      </c>
      <c r="D25" s="185">
        <v>542423.42099999997</v>
      </c>
      <c r="E25" s="185">
        <f>+ROUND((D25*1.04),0)</f>
        <v>564120</v>
      </c>
      <c r="F25" s="185">
        <f t="shared" ref="F25:M26" si="60">+ROUND((E25*1.04),0)</f>
        <v>586685</v>
      </c>
      <c r="G25" s="185">
        <f t="shared" si="60"/>
        <v>610152</v>
      </c>
      <c r="H25" s="185">
        <f t="shared" si="60"/>
        <v>634558</v>
      </c>
      <c r="I25" s="185">
        <f t="shared" si="60"/>
        <v>659940</v>
      </c>
      <c r="J25" s="185">
        <f t="shared" si="60"/>
        <v>686338</v>
      </c>
      <c r="K25" s="185">
        <f t="shared" si="60"/>
        <v>713792</v>
      </c>
      <c r="L25" s="185">
        <f t="shared" si="60"/>
        <v>742344</v>
      </c>
      <c r="M25" s="185">
        <f t="shared" si="60"/>
        <v>772038</v>
      </c>
    </row>
    <row r="26" spans="1:13">
      <c r="A26" s="10" t="s">
        <v>68</v>
      </c>
      <c r="B26" s="11" t="s">
        <v>69</v>
      </c>
      <c r="C26" s="185"/>
      <c r="D26" s="185">
        <f>68435.434+40000</f>
        <v>108435.43399999999</v>
      </c>
      <c r="E26" s="185">
        <f>+ROUND((D26*1.04),0)</f>
        <v>112773</v>
      </c>
      <c r="F26" s="185">
        <f t="shared" si="60"/>
        <v>117284</v>
      </c>
      <c r="G26" s="185">
        <f t="shared" si="60"/>
        <v>121975</v>
      </c>
      <c r="H26" s="185">
        <f t="shared" si="60"/>
        <v>126854</v>
      </c>
      <c r="I26" s="185">
        <f t="shared" si="60"/>
        <v>131928</v>
      </c>
      <c r="J26" s="185">
        <f t="shared" si="60"/>
        <v>137205</v>
      </c>
      <c r="K26" s="185">
        <f t="shared" si="60"/>
        <v>142693</v>
      </c>
      <c r="L26" s="185">
        <f t="shared" si="60"/>
        <v>148401</v>
      </c>
      <c r="M26" s="185">
        <f t="shared" si="60"/>
        <v>154337</v>
      </c>
    </row>
    <row r="27" spans="1:13">
      <c r="A27" s="6" t="s">
        <v>70</v>
      </c>
      <c r="B27" s="7" t="s">
        <v>71</v>
      </c>
      <c r="C27" s="187">
        <f t="shared" ref="C27" si="61">SUM(C28:C29)</f>
        <v>0</v>
      </c>
      <c r="D27" s="187">
        <f t="shared" ref="D27" si="62">SUM(D28:D29)</f>
        <v>0</v>
      </c>
      <c r="E27" s="187">
        <f t="shared" ref="E27" si="63">SUM(E28:E29)</f>
        <v>0</v>
      </c>
      <c r="F27" s="187">
        <f t="shared" ref="F27" si="64">SUM(F28:F29)</f>
        <v>0</v>
      </c>
      <c r="G27" s="187">
        <f t="shared" ref="G27" si="65">SUM(G28:G29)</f>
        <v>0</v>
      </c>
      <c r="H27" s="187">
        <f t="shared" ref="H27" si="66">SUM(H28:H29)</f>
        <v>0</v>
      </c>
      <c r="I27" s="187">
        <f t="shared" ref="I27" si="67">SUM(I28:I29)</f>
        <v>0</v>
      </c>
      <c r="J27" s="187">
        <f t="shared" ref="J27" si="68">SUM(J28:J29)</f>
        <v>0</v>
      </c>
      <c r="K27" s="187">
        <f t="shared" ref="K27" si="69">SUM(K28:K29)</f>
        <v>0</v>
      </c>
      <c r="L27" s="187">
        <f t="shared" ref="L27" si="70">SUM(L28:L29)</f>
        <v>0</v>
      </c>
      <c r="M27" s="187">
        <f t="shared" ref="M27" si="71">SUM(M28:M29)</f>
        <v>0</v>
      </c>
    </row>
    <row r="28" spans="1:13">
      <c r="A28" s="10" t="s">
        <v>72</v>
      </c>
      <c r="B28" s="11" t="s">
        <v>73</v>
      </c>
      <c r="C28" s="185"/>
      <c r="D28" s="185"/>
      <c r="E28" s="185"/>
      <c r="F28" s="185"/>
      <c r="G28" s="185"/>
      <c r="H28" s="185"/>
      <c r="I28" s="185"/>
      <c r="J28" s="185"/>
      <c r="K28" s="185"/>
      <c r="L28" s="185"/>
      <c r="M28" s="185"/>
    </row>
    <row r="29" spans="1:13">
      <c r="A29" s="10" t="s">
        <v>74</v>
      </c>
      <c r="B29" s="11" t="s">
        <v>75</v>
      </c>
      <c r="C29" s="185"/>
      <c r="D29" s="185"/>
      <c r="E29" s="185"/>
      <c r="F29" s="185"/>
      <c r="G29" s="185"/>
      <c r="H29" s="185"/>
      <c r="I29" s="185"/>
      <c r="J29" s="185"/>
      <c r="K29" s="185"/>
      <c r="L29" s="185"/>
      <c r="M29" s="185"/>
    </row>
    <row r="30" spans="1:13">
      <c r="A30" s="10" t="s">
        <v>76</v>
      </c>
      <c r="B30" s="11" t="s">
        <v>77</v>
      </c>
      <c r="C30" s="185"/>
      <c r="D30" s="185"/>
      <c r="E30" s="185"/>
      <c r="F30" s="185"/>
      <c r="G30" s="185"/>
      <c r="H30" s="185"/>
      <c r="I30" s="185"/>
      <c r="J30" s="185"/>
      <c r="K30" s="185"/>
      <c r="L30" s="185"/>
      <c r="M30" s="185"/>
    </row>
    <row r="31" spans="1:13">
      <c r="A31" s="6" t="s">
        <v>78</v>
      </c>
      <c r="B31" s="7" t="s">
        <v>79</v>
      </c>
      <c r="C31" s="187">
        <f t="shared" ref="C31" si="72">C32+C41+C42</f>
        <v>4077756.3830000004</v>
      </c>
      <c r="D31" s="187">
        <f t="shared" ref="D31" si="73">D32+D41+D42</f>
        <v>3831340.3959999997</v>
      </c>
      <c r="E31" s="187">
        <f t="shared" ref="E31" si="74">E32+E41+E42</f>
        <v>3984593</v>
      </c>
      <c r="F31" s="187">
        <f t="shared" ref="F31" si="75">F32+F41+F42</f>
        <v>4143977</v>
      </c>
      <c r="G31" s="187">
        <f t="shared" ref="G31" si="76">G32+G41+G42</f>
        <v>4309736</v>
      </c>
      <c r="H31" s="187">
        <f t="shared" ref="H31" si="77">H32+H41+H42</f>
        <v>4482125</v>
      </c>
      <c r="I31" s="187">
        <f t="shared" ref="I31" si="78">I32+I41+I42</f>
        <v>4661410</v>
      </c>
      <c r="J31" s="187">
        <f t="shared" ref="J31" si="79">J32+J41+J42</f>
        <v>4847867</v>
      </c>
      <c r="K31" s="187">
        <f t="shared" ref="K31" si="80">K32+K41+K42</f>
        <v>5041781</v>
      </c>
      <c r="L31" s="187">
        <f t="shared" ref="L31" si="81">L32+L41+L42</f>
        <v>5243453</v>
      </c>
      <c r="M31" s="187">
        <f t="shared" ref="M31" si="82">M32+M41+M42</f>
        <v>5453192</v>
      </c>
    </row>
    <row r="32" spans="1:13">
      <c r="A32" s="6" t="s">
        <v>80</v>
      </c>
      <c r="B32" s="7" t="s">
        <v>66</v>
      </c>
      <c r="C32" s="187">
        <f t="shared" ref="C32" si="83">C33+C39+C40</f>
        <v>3368952.3630000004</v>
      </c>
      <c r="D32" s="187">
        <f t="shared" ref="D32" si="84">D33+D39+D40</f>
        <v>3577110.4139999999</v>
      </c>
      <c r="E32" s="187">
        <f t="shared" ref="E32" si="85">E33+E39+E40</f>
        <v>3720194</v>
      </c>
      <c r="F32" s="187">
        <f t="shared" ref="F32" si="86">F33+F39+F40</f>
        <v>3869002</v>
      </c>
      <c r="G32" s="187">
        <f t="shared" ref="G32" si="87">G33+G39+G40</f>
        <v>4023762</v>
      </c>
      <c r="H32" s="187">
        <f t="shared" ref="H32" si="88">H33+H39+H40</f>
        <v>4184712</v>
      </c>
      <c r="I32" s="187">
        <f t="shared" ref="I32" si="89">I33+I39+I40</f>
        <v>4352100</v>
      </c>
      <c r="J32" s="187">
        <f t="shared" ref="J32" si="90">J33+J39+J40</f>
        <v>4526185</v>
      </c>
      <c r="K32" s="187">
        <f t="shared" ref="K32" si="91">K33+K39+K40</f>
        <v>4707232</v>
      </c>
      <c r="L32" s="187">
        <f t="shared" ref="L32" si="92">L33+L39+L40</f>
        <v>4895522</v>
      </c>
      <c r="M32" s="187">
        <f t="shared" ref="M32" si="93">M33+M39+M40</f>
        <v>5091343</v>
      </c>
    </row>
    <row r="33" spans="1:13">
      <c r="A33" s="6" t="s">
        <v>81</v>
      </c>
      <c r="B33" s="7" t="s">
        <v>82</v>
      </c>
      <c r="C33" s="187">
        <f t="shared" ref="C33" si="94">SUM(C34:C38)</f>
        <v>2889445.3640000001</v>
      </c>
      <c r="D33" s="187">
        <f t="shared" ref="D33" si="95">SUM(D34:D38)</f>
        <v>3354577.0959999999</v>
      </c>
      <c r="E33" s="187">
        <f t="shared" ref="E33" si="96">SUM(E34:E38)</f>
        <v>3488759</v>
      </c>
      <c r="F33" s="187">
        <f t="shared" ref="F33" si="97">SUM(F34:F38)</f>
        <v>3628310</v>
      </c>
      <c r="G33" s="187">
        <f t="shared" ref="G33" si="98">SUM(G34:G38)</f>
        <v>3773442</v>
      </c>
      <c r="H33" s="187">
        <f t="shared" ref="H33" si="99">SUM(H34:H38)</f>
        <v>3924380</v>
      </c>
      <c r="I33" s="187">
        <f t="shared" ref="I33" si="100">SUM(I34:I38)</f>
        <v>4081355</v>
      </c>
      <c r="J33" s="187">
        <f t="shared" ref="J33" si="101">SUM(J34:J38)</f>
        <v>4244610</v>
      </c>
      <c r="K33" s="187">
        <f t="shared" ref="K33" si="102">SUM(K34:K38)</f>
        <v>4414394</v>
      </c>
      <c r="L33" s="187">
        <f t="shared" ref="L33" si="103">SUM(L34:L38)</f>
        <v>4590970</v>
      </c>
      <c r="M33" s="187">
        <f t="shared" ref="M33" si="104">SUM(M34:M38)</f>
        <v>4774609</v>
      </c>
    </row>
    <row r="34" spans="1:13">
      <c r="A34" s="10" t="s">
        <v>83</v>
      </c>
      <c r="B34" s="11" t="s">
        <v>84</v>
      </c>
      <c r="C34" s="185">
        <v>279640.84600000002</v>
      </c>
      <c r="D34" s="185">
        <v>282156.16800000001</v>
      </c>
      <c r="E34" s="185">
        <f t="shared" ref="E34:E39" si="105">+ROUND((D34*1.04),0)</f>
        <v>293442</v>
      </c>
      <c r="F34" s="185">
        <f t="shared" ref="F34:M39" si="106">+ROUND((E34*1.04),0)</f>
        <v>305180</v>
      </c>
      <c r="G34" s="185">
        <f t="shared" si="106"/>
        <v>317387</v>
      </c>
      <c r="H34" s="185">
        <f t="shared" si="106"/>
        <v>330082</v>
      </c>
      <c r="I34" s="185">
        <f t="shared" si="106"/>
        <v>343285</v>
      </c>
      <c r="J34" s="185">
        <f t="shared" si="106"/>
        <v>357016</v>
      </c>
      <c r="K34" s="185">
        <f t="shared" si="106"/>
        <v>371297</v>
      </c>
      <c r="L34" s="185">
        <f t="shared" si="106"/>
        <v>386149</v>
      </c>
      <c r="M34" s="185">
        <f t="shared" si="106"/>
        <v>401595</v>
      </c>
    </row>
    <row r="35" spans="1:13">
      <c r="A35" s="10" t="s">
        <v>85</v>
      </c>
      <c r="B35" s="11" t="s">
        <v>86</v>
      </c>
      <c r="C35" s="185">
        <v>1437934.1170000001</v>
      </c>
      <c r="D35" s="185">
        <f>1822646.376+53252.811</f>
        <v>1875899.1869999999</v>
      </c>
      <c r="E35" s="185">
        <f t="shared" si="105"/>
        <v>1950935</v>
      </c>
      <c r="F35" s="185">
        <f t="shared" si="106"/>
        <v>2028972</v>
      </c>
      <c r="G35" s="185">
        <f t="shared" si="106"/>
        <v>2110131</v>
      </c>
      <c r="H35" s="185">
        <f t="shared" si="106"/>
        <v>2194536</v>
      </c>
      <c r="I35" s="185">
        <f t="shared" si="106"/>
        <v>2282317</v>
      </c>
      <c r="J35" s="185">
        <f t="shared" si="106"/>
        <v>2373610</v>
      </c>
      <c r="K35" s="185">
        <f t="shared" si="106"/>
        <v>2468554</v>
      </c>
      <c r="L35" s="185">
        <f t="shared" si="106"/>
        <v>2567296</v>
      </c>
      <c r="M35" s="185">
        <f t="shared" si="106"/>
        <v>2669988</v>
      </c>
    </row>
    <row r="36" spans="1:13" ht="26.25">
      <c r="A36" s="10" t="s">
        <v>87</v>
      </c>
      <c r="B36" s="11" t="s">
        <v>88</v>
      </c>
      <c r="C36" s="185">
        <v>302152.75</v>
      </c>
      <c r="D36" s="185">
        <v>347586.85700000002</v>
      </c>
      <c r="E36" s="185">
        <f t="shared" si="105"/>
        <v>361490</v>
      </c>
      <c r="F36" s="185">
        <f t="shared" si="106"/>
        <v>375950</v>
      </c>
      <c r="G36" s="185">
        <f t="shared" si="106"/>
        <v>390988</v>
      </c>
      <c r="H36" s="185">
        <f t="shared" si="106"/>
        <v>406628</v>
      </c>
      <c r="I36" s="185">
        <f t="shared" si="106"/>
        <v>422893</v>
      </c>
      <c r="J36" s="185">
        <f t="shared" si="106"/>
        <v>439809</v>
      </c>
      <c r="K36" s="185">
        <f t="shared" si="106"/>
        <v>457401</v>
      </c>
      <c r="L36" s="185">
        <f t="shared" si="106"/>
        <v>475697</v>
      </c>
      <c r="M36" s="185">
        <f t="shared" si="106"/>
        <v>494725</v>
      </c>
    </row>
    <row r="37" spans="1:13" ht="26.25">
      <c r="A37" s="10" t="s">
        <v>89</v>
      </c>
      <c r="B37" s="11" t="s">
        <v>90</v>
      </c>
      <c r="C37" s="185">
        <v>778190.31</v>
      </c>
      <c r="D37" s="185">
        <f>353075.508+382498.467</f>
        <v>735573.97499999998</v>
      </c>
      <c r="E37" s="185">
        <f t="shared" si="105"/>
        <v>764997</v>
      </c>
      <c r="F37" s="185">
        <f t="shared" si="106"/>
        <v>795597</v>
      </c>
      <c r="G37" s="185">
        <f t="shared" si="106"/>
        <v>827421</v>
      </c>
      <c r="H37" s="185">
        <f t="shared" si="106"/>
        <v>860518</v>
      </c>
      <c r="I37" s="185">
        <f t="shared" si="106"/>
        <v>894939</v>
      </c>
      <c r="J37" s="185">
        <f t="shared" si="106"/>
        <v>930737</v>
      </c>
      <c r="K37" s="185">
        <f t="shared" si="106"/>
        <v>967966</v>
      </c>
      <c r="L37" s="185">
        <f t="shared" si="106"/>
        <v>1006685</v>
      </c>
      <c r="M37" s="185">
        <f t="shared" si="106"/>
        <v>1046952</v>
      </c>
    </row>
    <row r="38" spans="1:13">
      <c r="A38" s="10" t="s">
        <v>91</v>
      </c>
      <c r="B38" s="11" t="s">
        <v>92</v>
      </c>
      <c r="C38" s="185">
        <f>37561.74+53965.601</f>
        <v>91527.341</v>
      </c>
      <c r="D38" s="185">
        <f>64777.662+48583.247</f>
        <v>113360.909</v>
      </c>
      <c r="E38" s="185">
        <f t="shared" si="105"/>
        <v>117895</v>
      </c>
      <c r="F38" s="185">
        <f t="shared" si="106"/>
        <v>122611</v>
      </c>
      <c r="G38" s="185">
        <f t="shared" si="106"/>
        <v>127515</v>
      </c>
      <c r="H38" s="185">
        <f t="shared" si="106"/>
        <v>132616</v>
      </c>
      <c r="I38" s="185">
        <f t="shared" si="106"/>
        <v>137921</v>
      </c>
      <c r="J38" s="185">
        <f t="shared" si="106"/>
        <v>143438</v>
      </c>
      <c r="K38" s="185">
        <f t="shared" si="106"/>
        <v>149176</v>
      </c>
      <c r="L38" s="185">
        <f t="shared" si="106"/>
        <v>155143</v>
      </c>
      <c r="M38" s="185">
        <f t="shared" si="106"/>
        <v>161349</v>
      </c>
    </row>
    <row r="39" spans="1:13">
      <c r="A39" s="10" t="s">
        <v>93</v>
      </c>
      <c r="B39" s="11" t="s">
        <v>94</v>
      </c>
      <c r="C39" s="185">
        <v>55263.677000000003</v>
      </c>
      <c r="D39" s="185">
        <f>81730.325+7000</f>
        <v>88730.324999999997</v>
      </c>
      <c r="E39" s="185">
        <f t="shared" si="105"/>
        <v>92280</v>
      </c>
      <c r="F39" s="185">
        <f t="shared" si="106"/>
        <v>95971</v>
      </c>
      <c r="G39" s="185">
        <f t="shared" si="106"/>
        <v>99810</v>
      </c>
      <c r="H39" s="185">
        <f t="shared" si="106"/>
        <v>103802</v>
      </c>
      <c r="I39" s="185">
        <f t="shared" si="106"/>
        <v>107954</v>
      </c>
      <c r="J39" s="185">
        <f t="shared" si="106"/>
        <v>112272</v>
      </c>
      <c r="K39" s="185">
        <f t="shared" si="106"/>
        <v>116763</v>
      </c>
      <c r="L39" s="185">
        <f t="shared" si="106"/>
        <v>121434</v>
      </c>
      <c r="M39" s="185">
        <f t="shared" si="106"/>
        <v>126291</v>
      </c>
    </row>
    <row r="40" spans="1:13">
      <c r="A40" s="10" t="s">
        <v>95</v>
      </c>
      <c r="B40" s="11" t="s">
        <v>96</v>
      </c>
      <c r="C40" s="185">
        <v>424243.32199999999</v>
      </c>
      <c r="D40" s="185">
        <f>91802.993+42000</f>
        <v>133802.99300000002</v>
      </c>
      <c r="E40" s="185">
        <f t="shared" ref="E40:M40" si="107">+ROUND((D40*1.04),0)</f>
        <v>139155</v>
      </c>
      <c r="F40" s="185">
        <f t="shared" si="107"/>
        <v>144721</v>
      </c>
      <c r="G40" s="185">
        <f t="shared" si="107"/>
        <v>150510</v>
      </c>
      <c r="H40" s="185">
        <f t="shared" si="107"/>
        <v>156530</v>
      </c>
      <c r="I40" s="185">
        <f t="shared" si="107"/>
        <v>162791</v>
      </c>
      <c r="J40" s="185">
        <f t="shared" si="107"/>
        <v>169303</v>
      </c>
      <c r="K40" s="185">
        <f t="shared" si="107"/>
        <v>176075</v>
      </c>
      <c r="L40" s="185">
        <f t="shared" si="107"/>
        <v>183118</v>
      </c>
      <c r="M40" s="185">
        <f t="shared" si="107"/>
        <v>190443</v>
      </c>
    </row>
    <row r="41" spans="1:13">
      <c r="A41" s="10" t="s">
        <v>97</v>
      </c>
      <c r="B41" s="12" t="s">
        <v>98</v>
      </c>
      <c r="C41" s="185">
        <v>395585.93199999997</v>
      </c>
      <c r="D41" s="185">
        <f>11000+238229.982</f>
        <v>249229.98199999999</v>
      </c>
      <c r="E41" s="185">
        <f t="shared" ref="E41:M41" si="108">+ROUND((D41*1.04),0)</f>
        <v>259199</v>
      </c>
      <c r="F41" s="185">
        <f t="shared" si="108"/>
        <v>269567</v>
      </c>
      <c r="G41" s="185">
        <f t="shared" si="108"/>
        <v>280350</v>
      </c>
      <c r="H41" s="185">
        <f t="shared" si="108"/>
        <v>291564</v>
      </c>
      <c r="I41" s="185">
        <f t="shared" si="108"/>
        <v>303227</v>
      </c>
      <c r="J41" s="185">
        <f t="shared" si="108"/>
        <v>315356</v>
      </c>
      <c r="K41" s="185">
        <f t="shared" si="108"/>
        <v>327970</v>
      </c>
      <c r="L41" s="185">
        <f t="shared" si="108"/>
        <v>341089</v>
      </c>
      <c r="M41" s="185">
        <f t="shared" si="108"/>
        <v>354733</v>
      </c>
    </row>
    <row r="42" spans="1:13">
      <c r="A42" s="10" t="s">
        <v>99</v>
      </c>
      <c r="B42" s="12" t="s">
        <v>100</v>
      </c>
      <c r="C42" s="185">
        <v>313218.08799999999</v>
      </c>
      <c r="D42" s="185">
        <v>5000</v>
      </c>
      <c r="E42" s="185">
        <f t="shared" ref="E42:M42" si="109">+ROUND((D42*1.04),0)</f>
        <v>5200</v>
      </c>
      <c r="F42" s="185">
        <f t="shared" si="109"/>
        <v>5408</v>
      </c>
      <c r="G42" s="185">
        <f t="shared" si="109"/>
        <v>5624</v>
      </c>
      <c r="H42" s="185">
        <f t="shared" si="109"/>
        <v>5849</v>
      </c>
      <c r="I42" s="185">
        <f t="shared" si="109"/>
        <v>6083</v>
      </c>
      <c r="J42" s="185">
        <f t="shared" si="109"/>
        <v>6326</v>
      </c>
      <c r="K42" s="185">
        <f t="shared" si="109"/>
        <v>6579</v>
      </c>
      <c r="L42" s="185">
        <f t="shared" si="109"/>
        <v>6842</v>
      </c>
      <c r="M42" s="185">
        <f t="shared" si="109"/>
        <v>7116</v>
      </c>
    </row>
    <row r="43" spans="1:13">
      <c r="A43" s="4" t="s">
        <v>101</v>
      </c>
      <c r="B43" s="5" t="s">
        <v>102</v>
      </c>
      <c r="C43" s="188">
        <f t="shared" ref="C43" si="110">C44+C86</f>
        <v>10341372.1446</v>
      </c>
      <c r="D43" s="188">
        <f t="shared" ref="D43" si="111">D44+D86</f>
        <v>5886092.6189999999</v>
      </c>
      <c r="E43" s="188">
        <f t="shared" ref="E43" si="112">E44+E86</f>
        <v>6117936</v>
      </c>
      <c r="F43" s="188">
        <f t="shared" ref="F43" si="113">F44+F86</f>
        <v>6359631</v>
      </c>
      <c r="G43" s="188">
        <f t="shared" ref="G43" si="114">G44+G86</f>
        <v>6611100</v>
      </c>
      <c r="H43" s="188">
        <f t="shared" ref="H43" si="115">H44+H86</f>
        <v>6872737</v>
      </c>
      <c r="I43" s="188">
        <f t="shared" ref="I43" si="116">I44+I86</f>
        <v>7147648</v>
      </c>
      <c r="J43" s="188">
        <f t="shared" ref="J43" si="117">J44+J86</f>
        <v>7433553</v>
      </c>
      <c r="K43" s="188">
        <f t="shared" ref="K43" si="118">K44+K86</f>
        <v>7730895</v>
      </c>
      <c r="L43" s="188">
        <f t="shared" ref="L43" si="119">L44+L86</f>
        <v>8040131</v>
      </c>
      <c r="M43" s="188">
        <f t="shared" ref="M43" si="120">M44+M86</f>
        <v>8361737</v>
      </c>
    </row>
    <row r="44" spans="1:13">
      <c r="A44" s="6" t="s">
        <v>103</v>
      </c>
      <c r="B44" s="7" t="s">
        <v>104</v>
      </c>
      <c r="C44" s="187">
        <f t="shared" ref="C44" si="121">C45+C60+C63+C64+C70</f>
        <v>5160154.2636000002</v>
      </c>
      <c r="D44" s="187">
        <f t="shared" ref="D44" si="122">D45+D60+D63+D64+D70</f>
        <v>4929855.358</v>
      </c>
      <c r="E44" s="187">
        <f t="shared" ref="E44" si="123">E45+E60+E63+E64+E70</f>
        <v>5123449</v>
      </c>
      <c r="F44" s="187">
        <f t="shared" ref="F44" si="124">F45+F60+F63+F64+F70</f>
        <v>5325364</v>
      </c>
      <c r="G44" s="187">
        <f t="shared" ref="G44" si="125">G45+G60+G63+G64+G70</f>
        <v>5535463</v>
      </c>
      <c r="H44" s="187">
        <f t="shared" ref="H44" si="126">H45+H60+H63+H64+H70</f>
        <v>5754073</v>
      </c>
      <c r="I44" s="187">
        <f t="shared" ref="I44" si="127">I45+I60+I63+I64+I70</f>
        <v>5984237</v>
      </c>
      <c r="J44" s="187">
        <f t="shared" ref="J44" si="128">J45+J60+J63+J64+J70</f>
        <v>6223606</v>
      </c>
      <c r="K44" s="187">
        <f t="shared" ref="K44" si="129">K45+K60+K63+K64+K70</f>
        <v>6472550</v>
      </c>
      <c r="L44" s="187">
        <f t="shared" ref="L44" si="130">L45+L60+L63+L64+L70</f>
        <v>6731452</v>
      </c>
      <c r="M44" s="187">
        <f t="shared" ref="M44" si="131">M45+M60+M63+M64+M70</f>
        <v>7000710</v>
      </c>
    </row>
    <row r="45" spans="1:13">
      <c r="A45" s="6" t="s">
        <v>105</v>
      </c>
      <c r="B45" s="7" t="s">
        <v>106</v>
      </c>
      <c r="C45" s="187">
        <f t="shared" ref="C45" si="132">C46+C47+C48+C56+C57+C58+C59</f>
        <v>1838708.9536000001</v>
      </c>
      <c r="D45" s="187">
        <f t="shared" ref="D45" si="133">D46+D47+D48+D56+D57+D58+D59</f>
        <v>1138055</v>
      </c>
      <c r="E45" s="187">
        <f t="shared" ref="E45" si="134">E46+E47+E48+E56+E57+E58+E59</f>
        <v>1183577</v>
      </c>
      <c r="F45" s="187">
        <f t="shared" ref="F45" si="135">F46+F47+F48+F56+F57+F58+F59</f>
        <v>1230921</v>
      </c>
      <c r="G45" s="187">
        <f t="shared" ref="G45" si="136">G46+G47+G48+G56+G57+G58+G59</f>
        <v>1280158</v>
      </c>
      <c r="H45" s="187">
        <f t="shared" ref="H45" si="137">H46+H47+H48+H56+H57+H58+H59</f>
        <v>1331364</v>
      </c>
      <c r="I45" s="187">
        <f t="shared" ref="I45" si="138">I46+I47+I48+I56+I57+I58+I59</f>
        <v>1384619</v>
      </c>
      <c r="J45" s="187">
        <f t="shared" ref="J45" si="139">J46+J47+J48+J56+J57+J58+J59</f>
        <v>1440004</v>
      </c>
      <c r="K45" s="187">
        <f t="shared" ref="K45" si="140">K46+K47+K48+K56+K57+K58+K59</f>
        <v>1497603</v>
      </c>
      <c r="L45" s="187">
        <f t="shared" ref="L45" si="141">L46+L47+L48+L56+L57+L58+L59</f>
        <v>1557507</v>
      </c>
      <c r="M45" s="187">
        <f t="shared" ref="M45" si="142">M46+M47+M48+M56+M57+M58+M59</f>
        <v>1619808</v>
      </c>
    </row>
    <row r="46" spans="1:13">
      <c r="A46" s="10" t="s">
        <v>107</v>
      </c>
      <c r="B46" s="11" t="s">
        <v>108</v>
      </c>
      <c r="C46" s="185">
        <f>92454.928+61397.622+511444.338+35173.358</f>
        <v>700470.24600000004</v>
      </c>
      <c r="D46" s="185">
        <v>735494</v>
      </c>
      <c r="E46" s="185">
        <f>+ROUND((D46*1.04),0)</f>
        <v>764914</v>
      </c>
      <c r="F46" s="185">
        <f t="shared" ref="F46:M47" si="143">+ROUND((E46*1.04),0)</f>
        <v>795511</v>
      </c>
      <c r="G46" s="185">
        <f t="shared" si="143"/>
        <v>827331</v>
      </c>
      <c r="H46" s="185">
        <f t="shared" si="143"/>
        <v>860424</v>
      </c>
      <c r="I46" s="185">
        <f t="shared" si="143"/>
        <v>894841</v>
      </c>
      <c r="J46" s="185">
        <f t="shared" si="143"/>
        <v>930635</v>
      </c>
      <c r="K46" s="185">
        <f t="shared" si="143"/>
        <v>967860</v>
      </c>
      <c r="L46" s="185">
        <f t="shared" si="143"/>
        <v>1006574</v>
      </c>
      <c r="M46" s="185">
        <f t="shared" si="143"/>
        <v>1046837</v>
      </c>
    </row>
    <row r="47" spans="1:13">
      <c r="A47" s="10" t="s">
        <v>109</v>
      </c>
      <c r="B47" s="11" t="s">
        <v>110</v>
      </c>
      <c r="C47" s="185">
        <f>3731.75+12195.712+345542.861+4200</f>
        <v>365670.32299999997</v>
      </c>
      <c r="D47" s="185">
        <v>377561</v>
      </c>
      <c r="E47" s="185">
        <f>+ROUND((D47*1.04),0)</f>
        <v>392663</v>
      </c>
      <c r="F47" s="185">
        <f t="shared" si="143"/>
        <v>408370</v>
      </c>
      <c r="G47" s="185">
        <f t="shared" si="143"/>
        <v>424705</v>
      </c>
      <c r="H47" s="185">
        <f t="shared" si="143"/>
        <v>441693</v>
      </c>
      <c r="I47" s="185">
        <f t="shared" si="143"/>
        <v>459361</v>
      </c>
      <c r="J47" s="185">
        <f t="shared" si="143"/>
        <v>477735</v>
      </c>
      <c r="K47" s="185">
        <f t="shared" si="143"/>
        <v>496844</v>
      </c>
      <c r="L47" s="185">
        <f t="shared" si="143"/>
        <v>516718</v>
      </c>
      <c r="M47" s="185">
        <f t="shared" si="143"/>
        <v>537387</v>
      </c>
    </row>
    <row r="48" spans="1:13">
      <c r="A48" s="6" t="s">
        <v>111</v>
      </c>
      <c r="B48" s="7" t="s">
        <v>112</v>
      </c>
      <c r="C48" s="187">
        <f t="shared" ref="C48:D48" si="144">SUM(C49:C55)</f>
        <v>766428.38459999999</v>
      </c>
      <c r="D48" s="187">
        <f t="shared" si="144"/>
        <v>25000</v>
      </c>
      <c r="E48" s="187">
        <f t="shared" ref="E48" si="145">SUM(E49:E55)</f>
        <v>26000</v>
      </c>
      <c r="F48" s="187">
        <f t="shared" ref="F48" si="146">SUM(F49:F55)</f>
        <v>27040</v>
      </c>
      <c r="G48" s="187">
        <f t="shared" ref="G48" si="147">SUM(G49:G55)</f>
        <v>28122</v>
      </c>
      <c r="H48" s="187">
        <f t="shared" ref="H48" si="148">SUM(H49:H55)</f>
        <v>29247</v>
      </c>
      <c r="I48" s="187">
        <f t="shared" ref="I48" si="149">SUM(I49:I55)</f>
        <v>30417</v>
      </c>
      <c r="J48" s="187">
        <f t="shared" ref="J48" si="150">SUM(J49:J55)</f>
        <v>31634</v>
      </c>
      <c r="K48" s="187">
        <f t="shared" ref="K48" si="151">SUM(K49:K55)</f>
        <v>32899</v>
      </c>
      <c r="L48" s="187">
        <f t="shared" ref="L48" si="152">SUM(L49:L55)</f>
        <v>34215</v>
      </c>
      <c r="M48" s="187">
        <f t="shared" ref="M48" si="153">SUM(M49:M55)</f>
        <v>35584</v>
      </c>
    </row>
    <row r="49" spans="1:13">
      <c r="A49" s="10" t="s">
        <v>113</v>
      </c>
      <c r="B49" s="12" t="s">
        <v>114</v>
      </c>
      <c r="C49" s="185"/>
      <c r="D49" s="185"/>
      <c r="E49" s="185"/>
      <c r="F49" s="185"/>
      <c r="G49" s="185"/>
      <c r="H49" s="185"/>
      <c r="I49" s="185"/>
      <c r="J49" s="185"/>
      <c r="K49" s="185"/>
      <c r="L49" s="185"/>
      <c r="M49" s="185"/>
    </row>
    <row r="50" spans="1:13">
      <c r="A50" s="10" t="s">
        <v>115</v>
      </c>
      <c r="B50" s="12" t="s">
        <v>116</v>
      </c>
      <c r="C50" s="185">
        <v>567833.79760000005</v>
      </c>
      <c r="D50" s="185"/>
      <c r="E50" s="185"/>
      <c r="F50" s="185"/>
      <c r="G50" s="185"/>
      <c r="H50" s="185"/>
      <c r="I50" s="185"/>
      <c r="J50" s="185"/>
      <c r="K50" s="185"/>
      <c r="L50" s="185"/>
      <c r="M50" s="185"/>
    </row>
    <row r="51" spans="1:13">
      <c r="A51" s="10" t="s">
        <v>117</v>
      </c>
      <c r="B51" s="12" t="s">
        <v>118</v>
      </c>
      <c r="C51" s="185">
        <f>3952.929+25323.19</f>
        <v>29276.118999999999</v>
      </c>
      <c r="D51" s="185">
        <f>+'[31]FUNCIONAMIENTO 2011'!$I$128/1000</f>
        <v>25000</v>
      </c>
      <c r="E51" s="185">
        <f>+ROUND((D51*1.04),0)</f>
        <v>26000</v>
      </c>
      <c r="F51" s="185">
        <f t="shared" ref="F51:M51" si="154">+ROUND((E51*1.04),0)</f>
        <v>27040</v>
      </c>
      <c r="G51" s="185">
        <f t="shared" si="154"/>
        <v>28122</v>
      </c>
      <c r="H51" s="185">
        <f t="shared" si="154"/>
        <v>29247</v>
      </c>
      <c r="I51" s="185">
        <f t="shared" si="154"/>
        <v>30417</v>
      </c>
      <c r="J51" s="185">
        <f t="shared" si="154"/>
        <v>31634</v>
      </c>
      <c r="K51" s="185">
        <f t="shared" si="154"/>
        <v>32899</v>
      </c>
      <c r="L51" s="185">
        <f t="shared" si="154"/>
        <v>34215</v>
      </c>
      <c r="M51" s="185">
        <f t="shared" si="154"/>
        <v>35584</v>
      </c>
    </row>
    <row r="52" spans="1:13">
      <c r="A52" s="10" t="s">
        <v>119</v>
      </c>
      <c r="B52" s="12" t="s">
        <v>120</v>
      </c>
      <c r="C52" s="185"/>
      <c r="D52" s="185"/>
      <c r="E52" s="185"/>
      <c r="F52" s="185"/>
      <c r="G52" s="185"/>
      <c r="H52" s="185"/>
      <c r="I52" s="185"/>
      <c r="J52" s="185"/>
      <c r="K52" s="185"/>
      <c r="L52" s="185"/>
      <c r="M52" s="185"/>
    </row>
    <row r="53" spans="1:13">
      <c r="A53" s="10" t="s">
        <v>121</v>
      </c>
      <c r="B53" s="12" t="s">
        <v>122</v>
      </c>
      <c r="C53" s="185"/>
      <c r="D53" s="185"/>
      <c r="E53" s="185"/>
      <c r="F53" s="185"/>
      <c r="G53" s="185"/>
      <c r="H53" s="185"/>
      <c r="I53" s="185"/>
      <c r="J53" s="185"/>
      <c r="K53" s="185"/>
      <c r="L53" s="185"/>
      <c r="M53" s="185"/>
    </row>
    <row r="54" spans="1:13">
      <c r="A54" s="10" t="s">
        <v>123</v>
      </c>
      <c r="B54" s="12" t="s">
        <v>124</v>
      </c>
      <c r="C54" s="185"/>
      <c r="D54" s="185"/>
      <c r="E54" s="185"/>
      <c r="F54" s="185"/>
      <c r="G54" s="185"/>
      <c r="H54" s="185"/>
      <c r="I54" s="185"/>
      <c r="J54" s="185"/>
      <c r="K54" s="185"/>
      <c r="L54" s="185"/>
      <c r="M54" s="185"/>
    </row>
    <row r="55" spans="1:13">
      <c r="A55" s="10" t="s">
        <v>125</v>
      </c>
      <c r="B55" s="12" t="s">
        <v>126</v>
      </c>
      <c r="C55" s="185">
        <f>198594.587-C51</f>
        <v>169318.46799999999</v>
      </c>
      <c r="D55" s="185"/>
      <c r="E55" s="185"/>
      <c r="F55" s="185"/>
      <c r="G55" s="185"/>
      <c r="H55" s="185"/>
      <c r="I55" s="185"/>
      <c r="J55" s="185"/>
      <c r="K55" s="185"/>
      <c r="L55" s="185"/>
      <c r="M55" s="185"/>
    </row>
    <row r="56" spans="1:13">
      <c r="A56" s="10" t="s">
        <v>127</v>
      </c>
      <c r="B56" s="11" t="s">
        <v>128</v>
      </c>
      <c r="C56" s="185"/>
      <c r="D56" s="185"/>
      <c r="E56" s="185"/>
      <c r="F56" s="185"/>
      <c r="G56" s="185"/>
      <c r="H56" s="185"/>
      <c r="I56" s="185"/>
      <c r="J56" s="185"/>
      <c r="K56" s="185"/>
      <c r="L56" s="185"/>
      <c r="M56" s="185"/>
    </row>
    <row r="57" spans="1:13">
      <c r="A57" s="10" t="s">
        <v>129</v>
      </c>
      <c r="B57" s="11" t="s">
        <v>130</v>
      </c>
      <c r="C57" s="185"/>
      <c r="D57" s="185"/>
      <c r="E57" s="185"/>
      <c r="F57" s="185"/>
      <c r="G57" s="185"/>
      <c r="H57" s="185"/>
      <c r="I57" s="185"/>
      <c r="J57" s="185"/>
      <c r="K57" s="185"/>
      <c r="L57" s="185"/>
      <c r="M57" s="185"/>
    </row>
    <row r="58" spans="1:13">
      <c r="A58" s="10" t="s">
        <v>131</v>
      </c>
      <c r="B58" s="11" t="s">
        <v>132</v>
      </c>
      <c r="C58" s="185">
        <f>400+5740</f>
        <v>6140</v>
      </c>
      <c r="D58" s="185"/>
      <c r="E58" s="185"/>
      <c r="F58" s="185"/>
      <c r="G58" s="185"/>
      <c r="H58" s="185"/>
      <c r="I58" s="185"/>
      <c r="J58" s="185"/>
      <c r="K58" s="185"/>
      <c r="L58" s="185"/>
      <c r="M58" s="185"/>
    </row>
    <row r="59" spans="1:13">
      <c r="A59" s="10" t="s">
        <v>133</v>
      </c>
      <c r="B59" s="11" t="s">
        <v>134</v>
      </c>
      <c r="C59" s="185"/>
      <c r="D59" s="185"/>
      <c r="E59" s="185"/>
      <c r="F59" s="185"/>
      <c r="G59" s="185"/>
      <c r="H59" s="185"/>
      <c r="I59" s="185"/>
      <c r="J59" s="185"/>
      <c r="K59" s="185"/>
      <c r="L59" s="185"/>
      <c r="M59" s="185"/>
    </row>
    <row r="60" spans="1:13" ht="26.25">
      <c r="A60" s="6" t="s">
        <v>135</v>
      </c>
      <c r="B60" s="7" t="s">
        <v>136</v>
      </c>
      <c r="C60" s="187">
        <f t="shared" ref="C60" si="155">C61+C62</f>
        <v>0</v>
      </c>
      <c r="D60" s="187">
        <f t="shared" ref="D60" si="156">D61+D62</f>
        <v>0</v>
      </c>
      <c r="E60" s="187">
        <f t="shared" ref="E60" si="157">E61+E62</f>
        <v>0</v>
      </c>
      <c r="F60" s="187">
        <f t="shared" ref="F60" si="158">F61+F62</f>
        <v>0</v>
      </c>
      <c r="G60" s="187">
        <f t="shared" ref="G60" si="159">G61+G62</f>
        <v>0</v>
      </c>
      <c r="H60" s="187">
        <f t="shared" ref="H60" si="160">H61+H62</f>
        <v>0</v>
      </c>
      <c r="I60" s="187">
        <f t="shared" ref="I60" si="161">I61+I62</f>
        <v>0</v>
      </c>
      <c r="J60" s="187">
        <f t="shared" ref="J60" si="162">J61+J62</f>
        <v>0</v>
      </c>
      <c r="K60" s="187">
        <f t="shared" ref="K60" si="163">K61+K62</f>
        <v>0</v>
      </c>
      <c r="L60" s="187">
        <f t="shared" ref="L60" si="164">L61+L62</f>
        <v>0</v>
      </c>
      <c r="M60" s="187">
        <f t="shared" ref="M60" si="165">M61+M62</f>
        <v>0</v>
      </c>
    </row>
    <row r="61" spans="1:13" ht="26.25">
      <c r="A61" s="15" t="s">
        <v>137</v>
      </c>
      <c r="B61" s="16" t="s">
        <v>138</v>
      </c>
      <c r="C61" s="185"/>
      <c r="D61" s="185"/>
      <c r="E61" s="185"/>
      <c r="F61" s="185"/>
      <c r="G61" s="185"/>
      <c r="H61" s="185"/>
      <c r="I61" s="185"/>
      <c r="J61" s="185"/>
      <c r="K61" s="185"/>
      <c r="L61" s="185"/>
      <c r="M61" s="185"/>
    </row>
    <row r="62" spans="1:13" ht="26.25">
      <c r="A62" s="15" t="s">
        <v>139</v>
      </c>
      <c r="B62" s="16" t="s">
        <v>140</v>
      </c>
      <c r="C62" s="185"/>
      <c r="D62" s="185"/>
      <c r="E62" s="185"/>
      <c r="F62" s="185"/>
      <c r="G62" s="185"/>
      <c r="H62" s="185"/>
      <c r="I62" s="185"/>
      <c r="J62" s="185"/>
      <c r="K62" s="185"/>
      <c r="L62" s="185"/>
      <c r="M62" s="185"/>
    </row>
    <row r="63" spans="1:13" ht="26.25">
      <c r="A63" s="13" t="s">
        <v>141</v>
      </c>
      <c r="B63" s="14" t="s">
        <v>142</v>
      </c>
      <c r="C63" s="185"/>
      <c r="D63" s="185"/>
      <c r="E63" s="185"/>
      <c r="F63" s="185"/>
      <c r="G63" s="185"/>
      <c r="H63" s="185"/>
      <c r="I63" s="185"/>
      <c r="J63" s="185"/>
      <c r="K63" s="185"/>
      <c r="L63" s="185"/>
      <c r="M63" s="185"/>
    </row>
    <row r="64" spans="1:13" ht="25.5" customHeight="1">
      <c r="A64" s="6" t="s">
        <v>143</v>
      </c>
      <c r="B64" s="7" t="s">
        <v>144</v>
      </c>
      <c r="C64" s="187">
        <f t="shared" ref="C64" si="166">SUM(C65:C69)</f>
        <v>3307028.31</v>
      </c>
      <c r="D64" s="187">
        <f t="shared" ref="D64" si="167">SUM(D65:D69)</f>
        <v>3780550.358</v>
      </c>
      <c r="E64" s="187">
        <f t="shared" ref="E64" si="168">SUM(E65:E69)</f>
        <v>3931772</v>
      </c>
      <c r="F64" s="187">
        <f t="shared" ref="F64" si="169">SUM(F65:F69)</f>
        <v>4089043</v>
      </c>
      <c r="G64" s="187">
        <f t="shared" ref="G64" si="170">SUM(G65:G69)</f>
        <v>4252605</v>
      </c>
      <c r="H64" s="187">
        <f t="shared" ref="H64" si="171">SUM(H65:H69)</f>
        <v>4422709</v>
      </c>
      <c r="I64" s="187">
        <f t="shared" ref="I64" si="172">SUM(I65:I69)</f>
        <v>4599618</v>
      </c>
      <c r="J64" s="187">
        <f t="shared" ref="J64" si="173">SUM(J65:J69)</f>
        <v>4783602</v>
      </c>
      <c r="K64" s="187">
        <f t="shared" ref="K64" si="174">SUM(K65:K69)</f>
        <v>4974947</v>
      </c>
      <c r="L64" s="187">
        <f t="shared" ref="L64" si="175">SUM(L65:L69)</f>
        <v>5173945</v>
      </c>
      <c r="M64" s="187">
        <f t="shared" ref="M64" si="176">SUM(M65:M69)</f>
        <v>5380902</v>
      </c>
    </row>
    <row r="65" spans="1:13">
      <c r="A65" s="10" t="s">
        <v>145</v>
      </c>
      <c r="B65" s="11" t="s">
        <v>146</v>
      </c>
      <c r="C65" s="185">
        <v>31870.781999999999</v>
      </c>
      <c r="D65" s="185">
        <v>317579</v>
      </c>
      <c r="E65" s="185">
        <f t="shared" ref="E65:M65" si="177">+ROUND((D65*1.04),0)</f>
        <v>330282</v>
      </c>
      <c r="F65" s="185">
        <f t="shared" si="177"/>
        <v>343493</v>
      </c>
      <c r="G65" s="185">
        <f t="shared" si="177"/>
        <v>357233</v>
      </c>
      <c r="H65" s="185">
        <f t="shared" si="177"/>
        <v>371522</v>
      </c>
      <c r="I65" s="185">
        <f t="shared" si="177"/>
        <v>386383</v>
      </c>
      <c r="J65" s="185">
        <f t="shared" si="177"/>
        <v>401838</v>
      </c>
      <c r="K65" s="185">
        <f t="shared" si="177"/>
        <v>417912</v>
      </c>
      <c r="L65" s="185">
        <f t="shared" si="177"/>
        <v>434628</v>
      </c>
      <c r="M65" s="185">
        <f t="shared" si="177"/>
        <v>452013</v>
      </c>
    </row>
    <row r="66" spans="1:13">
      <c r="A66" s="10" t="s">
        <v>147</v>
      </c>
      <c r="B66" s="11" t="s">
        <v>148</v>
      </c>
      <c r="C66" s="185">
        <f>2085650.62-C89</f>
        <v>2005650.62</v>
      </c>
      <c r="D66" s="185">
        <v>2586294.9279999998</v>
      </c>
      <c r="E66" s="185">
        <f t="shared" ref="E66:M66" si="178">+ROUND((D66*1.04),0)</f>
        <v>2689747</v>
      </c>
      <c r="F66" s="185">
        <f t="shared" si="178"/>
        <v>2797337</v>
      </c>
      <c r="G66" s="185">
        <f t="shared" si="178"/>
        <v>2909230</v>
      </c>
      <c r="H66" s="185">
        <f t="shared" si="178"/>
        <v>3025599</v>
      </c>
      <c r="I66" s="185">
        <f t="shared" si="178"/>
        <v>3146623</v>
      </c>
      <c r="J66" s="185">
        <f t="shared" si="178"/>
        <v>3272488</v>
      </c>
      <c r="K66" s="185">
        <f t="shared" si="178"/>
        <v>3403388</v>
      </c>
      <c r="L66" s="185">
        <f t="shared" si="178"/>
        <v>3539524</v>
      </c>
      <c r="M66" s="185">
        <f t="shared" si="178"/>
        <v>3681105</v>
      </c>
    </row>
    <row r="67" spans="1:13">
      <c r="A67" s="10" t="s">
        <v>149</v>
      </c>
      <c r="B67" s="11" t="s">
        <v>150</v>
      </c>
      <c r="C67" s="185">
        <v>189602.31099999999</v>
      </c>
      <c r="D67" s="185">
        <v>158000</v>
      </c>
      <c r="E67" s="185">
        <f t="shared" ref="E67:M67" si="179">+ROUND((D67*1.04),0)</f>
        <v>164320</v>
      </c>
      <c r="F67" s="185">
        <f t="shared" si="179"/>
        <v>170893</v>
      </c>
      <c r="G67" s="185">
        <f t="shared" si="179"/>
        <v>177729</v>
      </c>
      <c r="H67" s="185">
        <f t="shared" si="179"/>
        <v>184838</v>
      </c>
      <c r="I67" s="185">
        <f t="shared" si="179"/>
        <v>192232</v>
      </c>
      <c r="J67" s="185">
        <f t="shared" si="179"/>
        <v>199921</v>
      </c>
      <c r="K67" s="185">
        <f t="shared" si="179"/>
        <v>207918</v>
      </c>
      <c r="L67" s="185">
        <f t="shared" si="179"/>
        <v>216235</v>
      </c>
      <c r="M67" s="185">
        <f t="shared" si="179"/>
        <v>224884</v>
      </c>
    </row>
    <row r="68" spans="1:13">
      <c r="A68" s="10" t="s">
        <v>151</v>
      </c>
      <c r="B68" s="11" t="s">
        <v>152</v>
      </c>
      <c r="C68" s="185"/>
      <c r="D68" s="185"/>
      <c r="E68" s="185"/>
      <c r="F68" s="185"/>
      <c r="G68" s="185"/>
      <c r="H68" s="185"/>
      <c r="I68" s="185"/>
      <c r="J68" s="185"/>
      <c r="K68" s="185"/>
      <c r="L68" s="185"/>
      <c r="M68" s="185"/>
    </row>
    <row r="69" spans="1:13">
      <c r="A69" s="10" t="s">
        <v>153</v>
      </c>
      <c r="B69" s="11" t="s">
        <v>154</v>
      </c>
      <c r="C69" s="185">
        <f>29547.852+113868.327+15540+35995.2+155700.254+91652.37+166795.4+5000+176505+96737.117+192563.077</f>
        <v>1079904.5970000001</v>
      </c>
      <c r="D69" s="185">
        <f>56375+69794.332+54000+234526.601+4000+121752.768+5000+5000+138650.067+29577.662</f>
        <v>718676.43</v>
      </c>
      <c r="E69" s="185">
        <f>+ROUND((D69*1.04),0)</f>
        <v>747423</v>
      </c>
      <c r="F69" s="185">
        <f t="shared" ref="F69:M69" si="180">+ROUND((E69*1.04),0)</f>
        <v>777320</v>
      </c>
      <c r="G69" s="185">
        <f t="shared" si="180"/>
        <v>808413</v>
      </c>
      <c r="H69" s="185">
        <f t="shared" si="180"/>
        <v>840750</v>
      </c>
      <c r="I69" s="185">
        <f t="shared" si="180"/>
        <v>874380</v>
      </c>
      <c r="J69" s="185">
        <f t="shared" si="180"/>
        <v>909355</v>
      </c>
      <c r="K69" s="185">
        <f t="shared" si="180"/>
        <v>945729</v>
      </c>
      <c r="L69" s="185">
        <f t="shared" si="180"/>
        <v>983558</v>
      </c>
      <c r="M69" s="185">
        <f t="shared" si="180"/>
        <v>1022900</v>
      </c>
    </row>
    <row r="70" spans="1:13">
      <c r="A70" s="6" t="s">
        <v>155</v>
      </c>
      <c r="B70" s="7" t="s">
        <v>156</v>
      </c>
      <c r="C70" s="187">
        <f t="shared" ref="C70" si="181">SUM(C71:C72)</f>
        <v>14417</v>
      </c>
      <c r="D70" s="187">
        <f t="shared" ref="D70" si="182">SUM(D71:D72)</f>
        <v>11250.000000000002</v>
      </c>
      <c r="E70" s="187">
        <f t="shared" ref="E70" si="183">SUM(E71:E72)</f>
        <v>8100.0000000000009</v>
      </c>
      <c r="F70" s="187">
        <f t="shared" ref="F70" si="184">SUM(F71:F72)</f>
        <v>5400.0000000000009</v>
      </c>
      <c r="G70" s="187">
        <f t="shared" ref="G70" si="185">SUM(G71:G72)</f>
        <v>2700.0000000000005</v>
      </c>
      <c r="H70" s="187">
        <f t="shared" ref="H70" si="186">SUM(H71:H72)</f>
        <v>0</v>
      </c>
      <c r="I70" s="187">
        <f t="shared" ref="I70" si="187">SUM(I71:I72)</f>
        <v>0</v>
      </c>
      <c r="J70" s="187">
        <f t="shared" ref="J70" si="188">SUM(J71:J72)</f>
        <v>0</v>
      </c>
      <c r="K70" s="187">
        <f t="shared" ref="K70" si="189">SUM(K71:K72)</f>
        <v>0</v>
      </c>
      <c r="L70" s="187">
        <f t="shared" ref="L70" si="190">SUM(L71:L72)</f>
        <v>0</v>
      </c>
      <c r="M70" s="187">
        <f t="shared" ref="M70" si="191">SUM(M71:M72)</f>
        <v>0</v>
      </c>
    </row>
    <row r="71" spans="1:13">
      <c r="A71" s="10" t="s">
        <v>157</v>
      </c>
      <c r="B71" s="11" t="s">
        <v>158</v>
      </c>
      <c r="C71" s="185">
        <v>14417</v>
      </c>
      <c r="D71" s="185">
        <f>+D120*1.8%</f>
        <v>11250.000000000002</v>
      </c>
      <c r="E71" s="185">
        <f t="shared" ref="E71:G71" si="192">+E120*1.8%</f>
        <v>8100.0000000000009</v>
      </c>
      <c r="F71" s="185">
        <f t="shared" si="192"/>
        <v>5400.0000000000009</v>
      </c>
      <c r="G71" s="185">
        <f t="shared" si="192"/>
        <v>2700.0000000000005</v>
      </c>
      <c r="H71" s="185"/>
      <c r="I71" s="185"/>
      <c r="J71" s="185"/>
      <c r="K71" s="185"/>
      <c r="L71" s="185"/>
      <c r="M71" s="185"/>
    </row>
    <row r="72" spans="1:13">
      <c r="A72" s="10" t="s">
        <v>159</v>
      </c>
      <c r="B72" s="11" t="s">
        <v>160</v>
      </c>
      <c r="C72" s="185"/>
      <c r="D72" s="185"/>
      <c r="E72" s="185"/>
      <c r="F72" s="185"/>
      <c r="G72" s="185"/>
      <c r="H72" s="185"/>
      <c r="I72" s="185"/>
      <c r="J72" s="185"/>
      <c r="K72" s="185"/>
      <c r="L72" s="185"/>
      <c r="M72" s="185"/>
    </row>
    <row r="73" spans="1:13">
      <c r="A73" s="4" t="s">
        <v>161</v>
      </c>
      <c r="B73" s="5" t="s">
        <v>162</v>
      </c>
      <c r="C73" s="188">
        <f t="shared" ref="C73" si="193">C5-C44</f>
        <v>1294633.2814000007</v>
      </c>
      <c r="D73" s="188">
        <f t="shared" ref="D73:M73" si="194">D5-D44</f>
        <v>637424.89300000016</v>
      </c>
      <c r="E73" s="188">
        <f t="shared" si="194"/>
        <v>666521</v>
      </c>
      <c r="F73" s="188">
        <f t="shared" si="194"/>
        <v>696205</v>
      </c>
      <c r="G73" s="188">
        <f t="shared" si="194"/>
        <v>726968</v>
      </c>
      <c r="H73" s="188">
        <f t="shared" si="194"/>
        <v>758854</v>
      </c>
      <c r="I73" s="188">
        <f t="shared" si="194"/>
        <v>789207</v>
      </c>
      <c r="J73" s="188">
        <f t="shared" si="194"/>
        <v>820776</v>
      </c>
      <c r="K73" s="188">
        <f t="shared" si="194"/>
        <v>853608</v>
      </c>
      <c r="L73" s="188">
        <f t="shared" si="194"/>
        <v>887754</v>
      </c>
      <c r="M73" s="188">
        <f t="shared" si="194"/>
        <v>923266</v>
      </c>
    </row>
    <row r="74" spans="1:13">
      <c r="A74" s="6" t="s">
        <v>163</v>
      </c>
      <c r="B74" s="7" t="s">
        <v>164</v>
      </c>
      <c r="C74" s="187">
        <f t="shared" ref="C74" si="195">SUM(C75:C85)</f>
        <v>3878652.4849999999</v>
      </c>
      <c r="D74" s="187">
        <f t="shared" ref="D74" si="196">SUM(D75:D85)</f>
        <v>909843.076</v>
      </c>
      <c r="E74" s="187">
        <f t="shared" ref="E74" si="197">SUM(E75:E85)</f>
        <v>946237</v>
      </c>
      <c r="F74" s="187">
        <f t="shared" ref="F74" si="198">SUM(F75:F85)</f>
        <v>984087</v>
      </c>
      <c r="G74" s="187">
        <f t="shared" ref="G74" si="199">SUM(G75:G85)</f>
        <v>1023450</v>
      </c>
      <c r="H74" s="187">
        <f t="shared" ref="H74" si="200">SUM(H75:H85)</f>
        <v>1064389</v>
      </c>
      <c r="I74" s="187">
        <f t="shared" ref="I74" si="201">SUM(I75:I85)</f>
        <v>1106965</v>
      </c>
      <c r="J74" s="187">
        <f t="shared" ref="J74" si="202">SUM(J75:J85)</f>
        <v>1151244</v>
      </c>
      <c r="K74" s="187">
        <f t="shared" ref="K74" si="203">SUM(K75:K85)</f>
        <v>1197293</v>
      </c>
      <c r="L74" s="187">
        <f t="shared" ref="L74" si="204">SUM(L75:L85)</f>
        <v>1245186</v>
      </c>
      <c r="M74" s="187">
        <f t="shared" ref="M74" si="205">SUM(M75:M85)</f>
        <v>1294993</v>
      </c>
    </row>
    <row r="75" spans="1:13">
      <c r="A75" s="10" t="s">
        <v>165</v>
      </c>
      <c r="B75" s="11" t="s">
        <v>166</v>
      </c>
      <c r="C75" s="185">
        <v>174049.302</v>
      </c>
      <c r="D75" s="185"/>
      <c r="E75" s="185"/>
      <c r="F75" s="185"/>
      <c r="G75" s="185"/>
      <c r="H75" s="185"/>
      <c r="I75" s="185"/>
      <c r="J75" s="185"/>
      <c r="K75" s="185"/>
      <c r="L75" s="185"/>
      <c r="M75" s="185"/>
    </row>
    <row r="76" spans="1:13">
      <c r="A76" s="10" t="s">
        <v>167</v>
      </c>
      <c r="B76" s="11" t="s">
        <v>168</v>
      </c>
      <c r="C76" s="185">
        <v>1782172.173</v>
      </c>
      <c r="D76" s="185">
        <f>550000+270000</f>
        <v>820000</v>
      </c>
      <c r="E76" s="185">
        <f>+ROUND((D76*1.04),0)</f>
        <v>852800</v>
      </c>
      <c r="F76" s="185">
        <f t="shared" ref="F76:M76" si="206">+ROUND((E76*1.04),0)</f>
        <v>886912</v>
      </c>
      <c r="G76" s="185">
        <f t="shared" si="206"/>
        <v>922388</v>
      </c>
      <c r="H76" s="185">
        <f t="shared" si="206"/>
        <v>959284</v>
      </c>
      <c r="I76" s="185">
        <f t="shared" si="206"/>
        <v>997655</v>
      </c>
      <c r="J76" s="185">
        <f t="shared" si="206"/>
        <v>1037561</v>
      </c>
      <c r="K76" s="185">
        <f t="shared" si="206"/>
        <v>1079063</v>
      </c>
      <c r="L76" s="185">
        <f t="shared" si="206"/>
        <v>1122226</v>
      </c>
      <c r="M76" s="185">
        <f t="shared" si="206"/>
        <v>1167115</v>
      </c>
    </row>
    <row r="77" spans="1:13">
      <c r="A77" s="10" t="s">
        <v>169</v>
      </c>
      <c r="B77" s="11" t="s">
        <v>170</v>
      </c>
      <c r="C77" s="185"/>
      <c r="D77" s="185"/>
      <c r="E77" s="185"/>
      <c r="F77" s="185"/>
      <c r="G77" s="185"/>
      <c r="H77" s="185"/>
      <c r="I77" s="185"/>
      <c r="J77" s="185"/>
      <c r="K77" s="185"/>
      <c r="L77" s="185"/>
      <c r="M77" s="185"/>
    </row>
    <row r="78" spans="1:13">
      <c r="A78" s="10" t="s">
        <v>171</v>
      </c>
      <c r="B78" s="11" t="s">
        <v>172</v>
      </c>
      <c r="C78" s="185">
        <v>16092.005999999999</v>
      </c>
      <c r="D78" s="185">
        <f>+ROUND((C78*1.03),0)</f>
        <v>16575</v>
      </c>
      <c r="E78" s="185">
        <f>+ROUND((D78*1.04),0)</f>
        <v>17238</v>
      </c>
      <c r="F78" s="185">
        <f t="shared" ref="F78:M78" si="207">+ROUND((E78*1.04),0)</f>
        <v>17928</v>
      </c>
      <c r="G78" s="185">
        <f t="shared" si="207"/>
        <v>18645</v>
      </c>
      <c r="H78" s="185">
        <f t="shared" si="207"/>
        <v>19391</v>
      </c>
      <c r="I78" s="185">
        <f t="shared" si="207"/>
        <v>20167</v>
      </c>
      <c r="J78" s="185">
        <f t="shared" si="207"/>
        <v>20974</v>
      </c>
      <c r="K78" s="185">
        <f t="shared" si="207"/>
        <v>21813</v>
      </c>
      <c r="L78" s="185">
        <f t="shared" si="207"/>
        <v>22686</v>
      </c>
      <c r="M78" s="185">
        <f t="shared" si="207"/>
        <v>23593</v>
      </c>
    </row>
    <row r="79" spans="1:13">
      <c r="A79" s="10" t="s">
        <v>173</v>
      </c>
      <c r="B79" s="11" t="s">
        <v>174</v>
      </c>
      <c r="C79" s="185"/>
      <c r="D79" s="185"/>
      <c r="E79" s="185"/>
      <c r="F79" s="185"/>
      <c r="G79" s="185"/>
      <c r="H79" s="185"/>
      <c r="I79" s="185"/>
      <c r="J79" s="185"/>
      <c r="K79" s="185"/>
      <c r="L79" s="185"/>
      <c r="M79" s="185"/>
    </row>
    <row r="80" spans="1:13">
      <c r="A80" s="10" t="s">
        <v>175</v>
      </c>
      <c r="B80" s="11" t="s">
        <v>176</v>
      </c>
      <c r="C80" s="185">
        <v>1860235.83</v>
      </c>
      <c r="D80" s="185">
        <v>31004</v>
      </c>
      <c r="E80" s="185">
        <f>+ROUND((D80*1.04),0)</f>
        <v>32244</v>
      </c>
      <c r="F80" s="185">
        <f t="shared" ref="F80:M80" si="208">+ROUND((E80*1.04),0)</f>
        <v>33534</v>
      </c>
      <c r="G80" s="185">
        <f t="shared" si="208"/>
        <v>34875</v>
      </c>
      <c r="H80" s="185">
        <f t="shared" si="208"/>
        <v>36270</v>
      </c>
      <c r="I80" s="185">
        <f t="shared" si="208"/>
        <v>37721</v>
      </c>
      <c r="J80" s="185">
        <f t="shared" si="208"/>
        <v>39230</v>
      </c>
      <c r="K80" s="185">
        <f t="shared" si="208"/>
        <v>40799</v>
      </c>
      <c r="L80" s="185">
        <f t="shared" si="208"/>
        <v>42431</v>
      </c>
      <c r="M80" s="185">
        <f t="shared" si="208"/>
        <v>44128</v>
      </c>
    </row>
    <row r="81" spans="1:13">
      <c r="A81" s="10" t="s">
        <v>177</v>
      </c>
      <c r="B81" s="11" t="s">
        <v>178</v>
      </c>
      <c r="C81" s="185"/>
      <c r="D81" s="185"/>
      <c r="E81" s="185"/>
      <c r="F81" s="185"/>
      <c r="G81" s="185"/>
      <c r="H81" s="185"/>
      <c r="I81" s="185"/>
      <c r="J81" s="185"/>
      <c r="K81" s="185"/>
      <c r="L81" s="185"/>
      <c r="M81" s="185"/>
    </row>
    <row r="82" spans="1:13">
      <c r="A82" s="10" t="s">
        <v>179</v>
      </c>
      <c r="B82" s="11" t="s">
        <v>180</v>
      </c>
      <c r="C82" s="185"/>
      <c r="D82" s="185"/>
      <c r="E82" s="185"/>
      <c r="F82" s="185"/>
      <c r="G82" s="185"/>
      <c r="H82" s="185"/>
      <c r="I82" s="185"/>
      <c r="J82" s="185"/>
      <c r="K82" s="185"/>
      <c r="L82" s="185"/>
      <c r="M82" s="185"/>
    </row>
    <row r="83" spans="1:13">
      <c r="A83" s="10" t="s">
        <v>181</v>
      </c>
      <c r="B83" s="11" t="s">
        <v>182</v>
      </c>
      <c r="C83" s="185"/>
      <c r="D83" s="185"/>
      <c r="E83" s="185"/>
      <c r="F83" s="185"/>
      <c r="G83" s="185"/>
      <c r="H83" s="185"/>
      <c r="I83" s="185"/>
      <c r="J83" s="185"/>
      <c r="K83" s="185"/>
      <c r="L83" s="185"/>
      <c r="M83" s="185"/>
    </row>
    <row r="84" spans="1:13">
      <c r="A84" s="10" t="s">
        <v>183</v>
      </c>
      <c r="B84" s="11" t="s">
        <v>184</v>
      </c>
      <c r="C84" s="185">
        <v>46103.173999999999</v>
      </c>
      <c r="D84" s="185">
        <v>42264.076000000001</v>
      </c>
      <c r="E84" s="185">
        <f>+ROUND((D84*1.04),0)</f>
        <v>43955</v>
      </c>
      <c r="F84" s="185">
        <f t="shared" ref="F84:M84" si="209">+ROUND((E84*1.04),0)</f>
        <v>45713</v>
      </c>
      <c r="G84" s="185">
        <f t="shared" si="209"/>
        <v>47542</v>
      </c>
      <c r="H84" s="185">
        <f t="shared" si="209"/>
        <v>49444</v>
      </c>
      <c r="I84" s="185">
        <f t="shared" si="209"/>
        <v>51422</v>
      </c>
      <c r="J84" s="185">
        <f t="shared" si="209"/>
        <v>53479</v>
      </c>
      <c r="K84" s="185">
        <f t="shared" si="209"/>
        <v>55618</v>
      </c>
      <c r="L84" s="185">
        <f t="shared" si="209"/>
        <v>57843</v>
      </c>
      <c r="M84" s="185">
        <f t="shared" si="209"/>
        <v>60157</v>
      </c>
    </row>
    <row r="85" spans="1:13">
      <c r="A85" s="10" t="s">
        <v>185</v>
      </c>
      <c r="B85" s="11" t="s">
        <v>186</v>
      </c>
      <c r="C85" s="185"/>
      <c r="D85" s="185"/>
      <c r="E85" s="185"/>
      <c r="F85" s="185"/>
      <c r="G85" s="185"/>
      <c r="H85" s="185"/>
      <c r="I85" s="185"/>
      <c r="J85" s="185"/>
      <c r="K85" s="185"/>
      <c r="L85" s="185"/>
      <c r="M85" s="185"/>
    </row>
    <row r="86" spans="1:13">
      <c r="A86" s="6" t="s">
        <v>187</v>
      </c>
      <c r="B86" s="7" t="s">
        <v>188</v>
      </c>
      <c r="C86" s="187">
        <f t="shared" ref="C86" si="210">C87+C95</f>
        <v>5181217.881000001</v>
      </c>
      <c r="D86" s="187">
        <f t="shared" ref="D86" si="211">D87+D95</f>
        <v>956237.26099999994</v>
      </c>
      <c r="E86" s="187">
        <f t="shared" ref="E86" si="212">E87+E95</f>
        <v>994487</v>
      </c>
      <c r="F86" s="187">
        <f t="shared" ref="F86" si="213">F87+F95</f>
        <v>1034267</v>
      </c>
      <c r="G86" s="187">
        <f t="shared" ref="G86" si="214">G87+G95</f>
        <v>1075637</v>
      </c>
      <c r="H86" s="187">
        <f t="shared" ref="H86" si="215">H87+H95</f>
        <v>1118664</v>
      </c>
      <c r="I86" s="187">
        <f t="shared" ref="I86" si="216">I87+I95</f>
        <v>1163411</v>
      </c>
      <c r="J86" s="187">
        <f t="shared" ref="J86" si="217">J87+J95</f>
        <v>1209947</v>
      </c>
      <c r="K86" s="187">
        <f t="shared" ref="K86" si="218">K87+K95</f>
        <v>1258345</v>
      </c>
      <c r="L86" s="187">
        <f t="shared" ref="L86" si="219">L87+L95</f>
        <v>1308679</v>
      </c>
      <c r="M86" s="187">
        <f t="shared" ref="M86" si="220">M87+M95</f>
        <v>1361027</v>
      </c>
    </row>
    <row r="87" spans="1:13" ht="26.25">
      <c r="A87" s="6" t="s">
        <v>189</v>
      </c>
      <c r="B87" s="7" t="s">
        <v>190</v>
      </c>
      <c r="C87" s="187">
        <f t="shared" ref="C87" si="221">SUM(C88:C94)</f>
        <v>5181217.881000001</v>
      </c>
      <c r="D87" s="187">
        <f t="shared" ref="D87" si="222">SUM(D88:D94)</f>
        <v>956237.26099999994</v>
      </c>
      <c r="E87" s="187">
        <f t="shared" ref="E87" si="223">SUM(E88:E94)</f>
        <v>994487</v>
      </c>
      <c r="F87" s="187">
        <f t="shared" ref="F87" si="224">SUM(F88:F94)</f>
        <v>1034267</v>
      </c>
      <c r="G87" s="187">
        <f t="shared" ref="G87" si="225">SUM(G88:G94)</f>
        <v>1075637</v>
      </c>
      <c r="H87" s="187">
        <f t="shared" ref="H87" si="226">SUM(H88:H94)</f>
        <v>1118664</v>
      </c>
      <c r="I87" s="187">
        <f t="shared" ref="I87" si="227">SUM(I88:I94)</f>
        <v>1163411</v>
      </c>
      <c r="J87" s="187">
        <f t="shared" ref="J87" si="228">SUM(J88:J94)</f>
        <v>1209947</v>
      </c>
      <c r="K87" s="187">
        <f t="shared" ref="K87" si="229">SUM(K88:K94)</f>
        <v>1258345</v>
      </c>
      <c r="L87" s="187">
        <f t="shared" ref="L87" si="230">SUM(L88:L94)</f>
        <v>1308679</v>
      </c>
      <c r="M87" s="187">
        <f t="shared" ref="M87" si="231">SUM(M88:M94)</f>
        <v>1361027</v>
      </c>
    </row>
    <row r="88" spans="1:13">
      <c r="A88" s="10" t="s">
        <v>191</v>
      </c>
      <c r="B88" s="11" t="s">
        <v>192</v>
      </c>
      <c r="C88" s="185">
        <v>1338052.5390000001</v>
      </c>
      <c r="D88" s="185">
        <v>249577.16800000001</v>
      </c>
      <c r="E88" s="185">
        <f>+ROUND((D88*1.04),0)</f>
        <v>259560</v>
      </c>
      <c r="F88" s="185">
        <f t="shared" ref="F88:M88" si="232">+ROUND((E88*1.04),0)</f>
        <v>269942</v>
      </c>
      <c r="G88" s="185">
        <f t="shared" si="232"/>
        <v>280740</v>
      </c>
      <c r="H88" s="185">
        <f t="shared" si="232"/>
        <v>291970</v>
      </c>
      <c r="I88" s="185">
        <f t="shared" si="232"/>
        <v>303649</v>
      </c>
      <c r="J88" s="185">
        <f t="shared" si="232"/>
        <v>315795</v>
      </c>
      <c r="K88" s="185">
        <f t="shared" si="232"/>
        <v>328427</v>
      </c>
      <c r="L88" s="185">
        <f t="shared" si="232"/>
        <v>341564</v>
      </c>
      <c r="M88" s="185">
        <f t="shared" si="232"/>
        <v>355227</v>
      </c>
    </row>
    <row r="89" spans="1:13">
      <c r="A89" s="10" t="s">
        <v>193</v>
      </c>
      <c r="B89" s="11" t="s">
        <v>194</v>
      </c>
      <c r="C89" s="185">
        <v>80000</v>
      </c>
      <c r="D89" s="185"/>
      <c r="E89" s="185"/>
      <c r="F89" s="185"/>
      <c r="G89" s="185"/>
      <c r="H89" s="185"/>
      <c r="I89" s="185"/>
      <c r="J89" s="185"/>
      <c r="K89" s="185"/>
      <c r="L89" s="185"/>
      <c r="M89" s="185"/>
    </row>
    <row r="90" spans="1:13">
      <c r="A90" s="10" t="s">
        <v>195</v>
      </c>
      <c r="B90" s="11" t="s">
        <v>196</v>
      </c>
      <c r="C90" s="185">
        <f>1089093.058-C67</f>
        <v>899490.74699999997</v>
      </c>
      <c r="D90" s="185">
        <v>492808.21799999999</v>
      </c>
      <c r="E90" s="185">
        <f t="shared" ref="E90:M90" si="233">+ROUND((D90*1.04),0)</f>
        <v>512521</v>
      </c>
      <c r="F90" s="185">
        <f t="shared" si="233"/>
        <v>533022</v>
      </c>
      <c r="G90" s="185">
        <f t="shared" si="233"/>
        <v>554343</v>
      </c>
      <c r="H90" s="185">
        <f t="shared" si="233"/>
        <v>576517</v>
      </c>
      <c r="I90" s="185">
        <f t="shared" si="233"/>
        <v>599578</v>
      </c>
      <c r="J90" s="185">
        <f t="shared" si="233"/>
        <v>623561</v>
      </c>
      <c r="K90" s="185">
        <f t="shared" si="233"/>
        <v>648503</v>
      </c>
      <c r="L90" s="185">
        <f t="shared" si="233"/>
        <v>674443</v>
      </c>
      <c r="M90" s="185">
        <f t="shared" si="233"/>
        <v>701421</v>
      </c>
    </row>
    <row r="91" spans="1:13">
      <c r="A91" s="10" t="s">
        <v>197</v>
      </c>
      <c r="B91" s="11" t="s">
        <v>198</v>
      </c>
      <c r="C91" s="185">
        <v>864784.46</v>
      </c>
      <c r="D91" s="185">
        <v>50000</v>
      </c>
      <c r="E91" s="185">
        <f t="shared" ref="E91:M91" si="234">+ROUND((D91*1.04),0)</f>
        <v>52000</v>
      </c>
      <c r="F91" s="185">
        <f t="shared" si="234"/>
        <v>54080</v>
      </c>
      <c r="G91" s="185">
        <f t="shared" si="234"/>
        <v>56243</v>
      </c>
      <c r="H91" s="185">
        <f t="shared" si="234"/>
        <v>58493</v>
      </c>
      <c r="I91" s="185">
        <f t="shared" si="234"/>
        <v>60833</v>
      </c>
      <c r="J91" s="185">
        <f t="shared" si="234"/>
        <v>63266</v>
      </c>
      <c r="K91" s="185">
        <f t="shared" si="234"/>
        <v>65797</v>
      </c>
      <c r="L91" s="185">
        <f t="shared" si="234"/>
        <v>68429</v>
      </c>
      <c r="M91" s="185">
        <f t="shared" si="234"/>
        <v>71166</v>
      </c>
    </row>
    <row r="92" spans="1:13">
      <c r="A92" s="10" t="s">
        <v>199</v>
      </c>
      <c r="B92" s="11" t="s">
        <v>200</v>
      </c>
      <c r="C92" s="185">
        <v>908275.43299999996</v>
      </c>
      <c r="D92" s="185">
        <v>66000</v>
      </c>
      <c r="E92" s="185">
        <f t="shared" ref="E92:M92" si="235">+ROUND((D92*1.04),0)</f>
        <v>68640</v>
      </c>
      <c r="F92" s="185">
        <f t="shared" si="235"/>
        <v>71386</v>
      </c>
      <c r="G92" s="185">
        <f t="shared" si="235"/>
        <v>74241</v>
      </c>
      <c r="H92" s="185">
        <f t="shared" si="235"/>
        <v>77211</v>
      </c>
      <c r="I92" s="185">
        <f t="shared" si="235"/>
        <v>80299</v>
      </c>
      <c r="J92" s="185">
        <f t="shared" si="235"/>
        <v>83511</v>
      </c>
      <c r="K92" s="185">
        <f t="shared" si="235"/>
        <v>86851</v>
      </c>
      <c r="L92" s="185">
        <f t="shared" si="235"/>
        <v>90325</v>
      </c>
      <c r="M92" s="185">
        <f t="shared" si="235"/>
        <v>93938</v>
      </c>
    </row>
    <row r="93" spans="1:13">
      <c r="A93" s="10" t="s">
        <v>201</v>
      </c>
      <c r="B93" s="11" t="s">
        <v>202</v>
      </c>
      <c r="C93" s="185">
        <f>958556.245+15000+47365.17+69693.287</f>
        <v>1090614.702</v>
      </c>
      <c r="D93" s="185">
        <f>31000+16851.875+13000+37000</f>
        <v>97851.875</v>
      </c>
      <c r="E93" s="185">
        <f t="shared" ref="E93:M93" si="236">+ROUND((D93*1.04),0)</f>
        <v>101766</v>
      </c>
      <c r="F93" s="185">
        <f t="shared" si="236"/>
        <v>105837</v>
      </c>
      <c r="G93" s="185">
        <f t="shared" si="236"/>
        <v>110070</v>
      </c>
      <c r="H93" s="185">
        <f t="shared" si="236"/>
        <v>114473</v>
      </c>
      <c r="I93" s="185">
        <f t="shared" si="236"/>
        <v>119052</v>
      </c>
      <c r="J93" s="185">
        <f t="shared" si="236"/>
        <v>123814</v>
      </c>
      <c r="K93" s="185">
        <f t="shared" si="236"/>
        <v>128767</v>
      </c>
      <c r="L93" s="185">
        <f t="shared" si="236"/>
        <v>133918</v>
      </c>
      <c r="M93" s="185">
        <f t="shared" si="236"/>
        <v>139275</v>
      </c>
    </row>
    <row r="94" spans="1:13">
      <c r="A94" s="10" t="s">
        <v>203</v>
      </c>
      <c r="B94" s="11" t="s">
        <v>204</v>
      </c>
      <c r="C94" s="185"/>
      <c r="D94" s="185"/>
      <c r="E94" s="185"/>
      <c r="F94" s="185"/>
      <c r="G94" s="185"/>
      <c r="H94" s="185"/>
      <c r="I94" s="185"/>
      <c r="J94" s="185"/>
      <c r="K94" s="185"/>
      <c r="L94" s="185"/>
      <c r="M94" s="185"/>
    </row>
    <row r="95" spans="1:13">
      <c r="A95" s="8" t="s">
        <v>205</v>
      </c>
      <c r="B95" s="9" t="s">
        <v>206</v>
      </c>
      <c r="C95" s="185"/>
      <c r="D95" s="185"/>
      <c r="E95" s="185"/>
      <c r="F95" s="185"/>
      <c r="G95" s="185"/>
      <c r="H95" s="185"/>
      <c r="I95" s="185"/>
      <c r="J95" s="185"/>
      <c r="K95" s="185"/>
      <c r="L95" s="185"/>
      <c r="M95" s="185"/>
    </row>
    <row r="96" spans="1:13">
      <c r="A96" s="4" t="s">
        <v>207</v>
      </c>
      <c r="B96" s="5" t="s">
        <v>208</v>
      </c>
      <c r="C96" s="188">
        <f t="shared" ref="C96" si="237">C74-C86</f>
        <v>-1302565.3960000011</v>
      </c>
      <c r="D96" s="188">
        <f t="shared" ref="D96:M96" si="238">D74-D86</f>
        <v>-46394.184999999939</v>
      </c>
      <c r="E96" s="188">
        <f t="shared" si="238"/>
        <v>-48250</v>
      </c>
      <c r="F96" s="188">
        <f t="shared" si="238"/>
        <v>-50180</v>
      </c>
      <c r="G96" s="188">
        <f t="shared" si="238"/>
        <v>-52187</v>
      </c>
      <c r="H96" s="188">
        <f t="shared" si="238"/>
        <v>-54275</v>
      </c>
      <c r="I96" s="188">
        <f t="shared" si="238"/>
        <v>-56446</v>
      </c>
      <c r="J96" s="188">
        <f t="shared" si="238"/>
        <v>-58703</v>
      </c>
      <c r="K96" s="188">
        <f t="shared" si="238"/>
        <v>-61052</v>
      </c>
      <c r="L96" s="188">
        <f t="shared" si="238"/>
        <v>-63493</v>
      </c>
      <c r="M96" s="188">
        <f t="shared" si="238"/>
        <v>-66034</v>
      </c>
    </row>
    <row r="97" spans="1:13">
      <c r="A97" s="4" t="s">
        <v>209</v>
      </c>
      <c r="B97" s="5" t="s">
        <v>210</v>
      </c>
      <c r="C97" s="188">
        <f t="shared" ref="C97" si="239">C4-C43</f>
        <v>-7932.1145999990404</v>
      </c>
      <c r="D97" s="188">
        <f t="shared" ref="D97:M97" si="240">D4-D43</f>
        <v>591030.70800000057</v>
      </c>
      <c r="E97" s="188">
        <f t="shared" si="240"/>
        <v>618271</v>
      </c>
      <c r="F97" s="188">
        <f t="shared" si="240"/>
        <v>646025</v>
      </c>
      <c r="G97" s="188">
        <f t="shared" si="240"/>
        <v>674781</v>
      </c>
      <c r="H97" s="188">
        <f t="shared" si="240"/>
        <v>704579</v>
      </c>
      <c r="I97" s="188">
        <f t="shared" si="240"/>
        <v>732761</v>
      </c>
      <c r="J97" s="188">
        <f t="shared" si="240"/>
        <v>762073</v>
      </c>
      <c r="K97" s="188">
        <f t="shared" si="240"/>
        <v>792556</v>
      </c>
      <c r="L97" s="188">
        <f t="shared" si="240"/>
        <v>824261</v>
      </c>
      <c r="M97" s="188">
        <f t="shared" si="240"/>
        <v>857232</v>
      </c>
    </row>
    <row r="98" spans="1:13">
      <c r="A98" s="6" t="s">
        <v>211</v>
      </c>
      <c r="B98" s="7" t="s">
        <v>212</v>
      </c>
      <c r="C98" s="187">
        <f t="shared" ref="C98:D98" si="241">C99</f>
        <v>11896</v>
      </c>
      <c r="D98" s="187">
        <f t="shared" si="241"/>
        <v>-175954</v>
      </c>
      <c r="E98" s="187">
        <f t="shared" ref="E98" si="242">E99</f>
        <v>-175000</v>
      </c>
      <c r="F98" s="187">
        <f t="shared" ref="F98" si="243">F99</f>
        <v>-150000</v>
      </c>
      <c r="G98" s="187">
        <f t="shared" ref="G98" si="244">G99</f>
        <v>-150000</v>
      </c>
      <c r="H98" s="187">
        <f t="shared" ref="H98" si="245">H99</f>
        <v>-150000</v>
      </c>
      <c r="I98" s="187">
        <f t="shared" ref="I98" si="246">I99</f>
        <v>0</v>
      </c>
      <c r="J98" s="187">
        <f t="shared" ref="J98" si="247">J99</f>
        <v>0</v>
      </c>
      <c r="K98" s="187">
        <f t="shared" ref="K98" si="248">K99</f>
        <v>0</v>
      </c>
      <c r="L98" s="187">
        <f t="shared" ref="L98" si="249">L99</f>
        <v>0</v>
      </c>
      <c r="M98" s="187">
        <f t="shared" ref="M98" si="250">M99</f>
        <v>0</v>
      </c>
    </row>
    <row r="99" spans="1:13">
      <c r="A99" s="6" t="s">
        <v>213</v>
      </c>
      <c r="B99" s="7" t="s">
        <v>214</v>
      </c>
      <c r="C99" s="187">
        <f t="shared" ref="C99" si="251">C100+C103</f>
        <v>11896</v>
      </c>
      <c r="D99" s="187">
        <f t="shared" ref="D99" si="252">D100+D103</f>
        <v>-175954</v>
      </c>
      <c r="E99" s="187">
        <f t="shared" ref="E99" si="253">E100+E103</f>
        <v>-175000</v>
      </c>
      <c r="F99" s="187">
        <f t="shared" ref="F99" si="254">F100+F103</f>
        <v>-150000</v>
      </c>
      <c r="G99" s="187">
        <f t="shared" ref="G99" si="255">G100+G103</f>
        <v>-150000</v>
      </c>
      <c r="H99" s="187">
        <f t="shared" ref="H99" si="256">H100+H103</f>
        <v>-150000</v>
      </c>
      <c r="I99" s="187">
        <f t="shared" ref="I99" si="257">I100+I103</f>
        <v>0</v>
      </c>
      <c r="J99" s="187">
        <f t="shared" ref="J99" si="258">J100+J103</f>
        <v>0</v>
      </c>
      <c r="K99" s="187">
        <f t="shared" ref="K99" si="259">K100+K103</f>
        <v>0</v>
      </c>
      <c r="L99" s="187">
        <f t="shared" ref="L99" si="260">L100+L103</f>
        <v>0</v>
      </c>
      <c r="M99" s="187">
        <f t="shared" ref="M99" si="261">M100+M103</f>
        <v>0</v>
      </c>
    </row>
    <row r="100" spans="1:13">
      <c r="A100" s="6" t="s">
        <v>215</v>
      </c>
      <c r="B100" s="7" t="s">
        <v>216</v>
      </c>
      <c r="C100" s="187">
        <f t="shared" ref="C100" si="262">C101-C102</f>
        <v>11896</v>
      </c>
      <c r="D100" s="187">
        <f t="shared" ref="D100" si="263">D101-D102</f>
        <v>-175954</v>
      </c>
      <c r="E100" s="187">
        <f t="shared" ref="E100" si="264">E101-E102</f>
        <v>-175000</v>
      </c>
      <c r="F100" s="187">
        <f t="shared" ref="F100" si="265">F101-F102</f>
        <v>-150000</v>
      </c>
      <c r="G100" s="187">
        <f t="shared" ref="G100" si="266">G101-G102</f>
        <v>-150000</v>
      </c>
      <c r="H100" s="187">
        <f t="shared" ref="H100" si="267">H101-H102</f>
        <v>-150000</v>
      </c>
      <c r="I100" s="187">
        <f t="shared" ref="I100" si="268">I101-I102</f>
        <v>0</v>
      </c>
      <c r="J100" s="187">
        <f t="shared" ref="J100" si="269">J101-J102</f>
        <v>0</v>
      </c>
      <c r="K100" s="187">
        <f t="shared" ref="K100" si="270">K101-K102</f>
        <v>0</v>
      </c>
      <c r="L100" s="187">
        <f t="shared" ref="L100" si="271">L101-L102</f>
        <v>0</v>
      </c>
      <c r="M100" s="187">
        <f t="shared" ref="M100" si="272">M101-M102</f>
        <v>0</v>
      </c>
    </row>
    <row r="101" spans="1:13">
      <c r="A101" s="10" t="s">
        <v>217</v>
      </c>
      <c r="B101" s="11" t="s">
        <v>218</v>
      </c>
      <c r="C101" s="185">
        <v>267205</v>
      </c>
      <c r="D101" s="185"/>
      <c r="E101" s="185"/>
      <c r="F101" s="185"/>
      <c r="G101" s="185"/>
      <c r="H101" s="185"/>
      <c r="I101" s="185"/>
      <c r="J101" s="185"/>
      <c r="K101" s="185"/>
      <c r="L101" s="185"/>
      <c r="M101" s="185"/>
    </row>
    <row r="102" spans="1:13">
      <c r="A102" s="10" t="s">
        <v>219</v>
      </c>
      <c r="B102" s="11" t="s">
        <v>220</v>
      </c>
      <c r="C102" s="185">
        <v>255309</v>
      </c>
      <c r="D102" s="185">
        <v>175954</v>
      </c>
      <c r="E102" s="185">
        <v>175000</v>
      </c>
      <c r="F102" s="185">
        <v>150000</v>
      </c>
      <c r="G102" s="185">
        <v>150000</v>
      </c>
      <c r="H102" s="185">
        <v>150000</v>
      </c>
      <c r="I102" s="185"/>
      <c r="J102" s="185"/>
      <c r="K102" s="185"/>
      <c r="L102" s="185"/>
      <c r="M102" s="185"/>
    </row>
    <row r="103" spans="1:13">
      <c r="A103" s="6" t="s">
        <v>221</v>
      </c>
      <c r="B103" s="7" t="s">
        <v>222</v>
      </c>
      <c r="C103" s="187">
        <f t="shared" ref="C103" si="273">C104-C105</f>
        <v>0</v>
      </c>
      <c r="D103" s="187">
        <f t="shared" ref="D103" si="274">D104-D105</f>
        <v>0</v>
      </c>
      <c r="E103" s="187">
        <f t="shared" ref="E103" si="275">E104-E105</f>
        <v>0</v>
      </c>
      <c r="F103" s="187">
        <f t="shared" ref="F103" si="276">F104-F105</f>
        <v>0</v>
      </c>
      <c r="G103" s="187">
        <f t="shared" ref="G103" si="277">G104-G105</f>
        <v>0</v>
      </c>
      <c r="H103" s="187">
        <f t="shared" ref="H103" si="278">H104-H105</f>
        <v>0</v>
      </c>
      <c r="I103" s="187">
        <f t="shared" ref="I103" si="279">I104-I105</f>
        <v>0</v>
      </c>
      <c r="J103" s="187">
        <f t="shared" ref="J103" si="280">J104-J105</f>
        <v>0</v>
      </c>
      <c r="K103" s="187">
        <f t="shared" ref="K103" si="281">K104-K105</f>
        <v>0</v>
      </c>
      <c r="L103" s="187">
        <f t="shared" ref="L103" si="282">L104-L105</f>
        <v>0</v>
      </c>
      <c r="M103" s="187">
        <f t="shared" ref="M103" si="283">M104-M105</f>
        <v>0</v>
      </c>
    </row>
    <row r="104" spans="1:13">
      <c r="A104" s="10" t="s">
        <v>223</v>
      </c>
      <c r="B104" s="11" t="s">
        <v>218</v>
      </c>
      <c r="C104" s="185"/>
      <c r="D104" s="185"/>
      <c r="E104" s="185"/>
      <c r="F104" s="185"/>
      <c r="G104" s="185"/>
      <c r="H104" s="185"/>
      <c r="I104" s="185"/>
      <c r="J104" s="185"/>
      <c r="K104" s="185"/>
      <c r="L104" s="185"/>
      <c r="M104" s="185"/>
    </row>
    <row r="105" spans="1:13">
      <c r="A105" s="10" t="s">
        <v>224</v>
      </c>
      <c r="B105" s="11" t="s">
        <v>220</v>
      </c>
      <c r="C105" s="185"/>
      <c r="D105" s="185"/>
      <c r="E105" s="185"/>
      <c r="F105" s="185"/>
      <c r="G105" s="185"/>
      <c r="H105" s="185"/>
      <c r="I105" s="185"/>
      <c r="J105" s="185"/>
      <c r="K105" s="185"/>
      <c r="L105" s="185"/>
      <c r="M105" s="185"/>
    </row>
    <row r="106" spans="1:13">
      <c r="A106" s="17" t="s">
        <v>225</v>
      </c>
      <c r="B106" s="18" t="s">
        <v>226</v>
      </c>
      <c r="C106" s="189"/>
      <c r="D106" s="189"/>
      <c r="E106" s="189"/>
      <c r="F106" s="189"/>
      <c r="G106" s="189"/>
      <c r="H106" s="189"/>
      <c r="I106" s="189"/>
      <c r="J106" s="189"/>
      <c r="K106" s="189"/>
      <c r="L106" s="189"/>
      <c r="M106" s="189"/>
    </row>
    <row r="107" spans="1:13">
      <c r="A107" s="6" t="s">
        <v>227</v>
      </c>
      <c r="B107" s="7" t="s">
        <v>228</v>
      </c>
      <c r="C107" s="187">
        <f t="shared" ref="C107" si="284">(C5+C74)-(C45+C60+C63+C64+C86)</f>
        <v>6484.8854000009596</v>
      </c>
      <c r="D107" s="187">
        <f t="shared" ref="D107:M107" si="285">(D5+D74)-(D45+D60+D63+D64+D86)</f>
        <v>602280.70800000057</v>
      </c>
      <c r="E107" s="187">
        <f t="shared" si="285"/>
        <v>626371</v>
      </c>
      <c r="F107" s="187">
        <f t="shared" si="285"/>
        <v>651425</v>
      </c>
      <c r="G107" s="187">
        <f t="shared" si="285"/>
        <v>677481</v>
      </c>
      <c r="H107" s="187">
        <f t="shared" si="285"/>
        <v>704579</v>
      </c>
      <c r="I107" s="187">
        <f t="shared" si="285"/>
        <v>732761</v>
      </c>
      <c r="J107" s="187">
        <f t="shared" si="285"/>
        <v>762073</v>
      </c>
      <c r="K107" s="187">
        <f t="shared" si="285"/>
        <v>792556</v>
      </c>
      <c r="L107" s="187">
        <f t="shared" si="285"/>
        <v>824261</v>
      </c>
      <c r="M107" s="187">
        <f t="shared" si="285"/>
        <v>857232</v>
      </c>
    </row>
    <row r="108" spans="1:13">
      <c r="A108" s="8" t="s">
        <v>229</v>
      </c>
      <c r="B108" s="9" t="s">
        <v>230</v>
      </c>
      <c r="C108" s="190">
        <f t="shared" ref="C108" si="286">IF(C107=0,0,IF(C70=0,0,C107/C70))</f>
        <v>0.44980824027196781</v>
      </c>
      <c r="D108" s="190">
        <f t="shared" ref="D108" si="287">IF(D107=0,0,IF(D70=0,0,D107/D70))</f>
        <v>53.536062933333376</v>
      </c>
      <c r="E108" s="190">
        <f t="shared" ref="E108" si="288">IF(E107=0,0,IF(E70=0,0,E107/E70))</f>
        <v>77.329753086419743</v>
      </c>
      <c r="F108" s="190">
        <f t="shared" ref="F108" si="289">IF(F107=0,0,IF(F70=0,0,F107/F70))</f>
        <v>120.63425925925924</v>
      </c>
      <c r="G108" s="190">
        <f t="shared" ref="G108" si="290">IF(G107=0,0,IF(G70=0,0,G107/G70))</f>
        <v>250.91888888888886</v>
      </c>
      <c r="H108" s="190">
        <f t="shared" ref="H108" si="291">IF(H107=0,0,IF(H70=0,0,H107/H70))</f>
        <v>0</v>
      </c>
      <c r="I108" s="190">
        <f t="shared" ref="I108" si="292">IF(I107=0,0,IF(I70=0,0,I107/I70))</f>
        <v>0</v>
      </c>
      <c r="J108" s="190">
        <f t="shared" ref="J108" si="293">IF(J107=0,0,IF(J70=0,0,J107/J70))</f>
        <v>0</v>
      </c>
      <c r="K108" s="190">
        <f t="shared" ref="K108" si="294">IF(K107=0,0,IF(K70=0,0,K107/K70))</f>
        <v>0</v>
      </c>
      <c r="L108" s="190">
        <f t="shared" ref="L108" si="295">IF(L107=0,0,IF(L70=0,0,L107/L70))</f>
        <v>0</v>
      </c>
      <c r="M108" s="190">
        <f t="shared" ref="M108" si="296">IF(M107=0,0,IF(M70=0,0,M107/M70))</f>
        <v>0</v>
      </c>
    </row>
    <row r="109" spans="1:13" ht="25.5">
      <c r="A109" s="17" t="s">
        <v>231</v>
      </c>
      <c r="B109" s="18" t="s">
        <v>232</v>
      </c>
      <c r="C109" s="189"/>
      <c r="D109" s="189"/>
      <c r="E109" s="189"/>
      <c r="F109" s="189"/>
      <c r="G109" s="189"/>
      <c r="H109" s="189"/>
      <c r="I109" s="189"/>
      <c r="J109" s="189"/>
      <c r="K109" s="189"/>
      <c r="L109" s="189"/>
      <c r="M109" s="189"/>
    </row>
    <row r="110" spans="1:13" ht="26.25">
      <c r="A110" s="8" t="s">
        <v>233</v>
      </c>
      <c r="B110" s="9" t="s">
        <v>234</v>
      </c>
      <c r="C110" s="190">
        <f t="shared" ref="C110" si="297">C4+C101+C104-C81</f>
        <v>10600645.030000001</v>
      </c>
      <c r="D110" s="190">
        <f t="shared" ref="D110:M110" si="298">D4+D101+D104-D81</f>
        <v>6477123.3270000005</v>
      </c>
      <c r="E110" s="190">
        <f t="shared" si="298"/>
        <v>6736207</v>
      </c>
      <c r="F110" s="190">
        <f t="shared" si="298"/>
        <v>7005656</v>
      </c>
      <c r="G110" s="190">
        <f t="shared" si="298"/>
        <v>7285881</v>
      </c>
      <c r="H110" s="190">
        <f t="shared" si="298"/>
        <v>7577316</v>
      </c>
      <c r="I110" s="190">
        <f t="shared" si="298"/>
        <v>7880409</v>
      </c>
      <c r="J110" s="190">
        <f t="shared" si="298"/>
        <v>8195626</v>
      </c>
      <c r="K110" s="190">
        <f t="shared" si="298"/>
        <v>8523451</v>
      </c>
      <c r="L110" s="190">
        <f t="shared" si="298"/>
        <v>8864392</v>
      </c>
      <c r="M110" s="190">
        <f t="shared" si="298"/>
        <v>9218969</v>
      </c>
    </row>
    <row r="111" spans="1:13" ht="26.25">
      <c r="A111" s="8" t="s">
        <v>235</v>
      </c>
      <c r="B111" s="9" t="s">
        <v>236</v>
      </c>
      <c r="C111" s="190">
        <f t="shared" ref="C111" si="299">C43+C100+C104-C59-C94</f>
        <v>10353268.1446</v>
      </c>
      <c r="D111" s="190">
        <f t="shared" ref="D111:M111" si="300">D43+D100+D104-D59-D94</f>
        <v>5710138.6189999999</v>
      </c>
      <c r="E111" s="190">
        <f t="shared" si="300"/>
        <v>5942936</v>
      </c>
      <c r="F111" s="190">
        <f t="shared" si="300"/>
        <v>6209631</v>
      </c>
      <c r="G111" s="190">
        <f t="shared" si="300"/>
        <v>6461100</v>
      </c>
      <c r="H111" s="190">
        <f t="shared" si="300"/>
        <v>6722737</v>
      </c>
      <c r="I111" s="190">
        <f t="shared" si="300"/>
        <v>7147648</v>
      </c>
      <c r="J111" s="190">
        <f t="shared" si="300"/>
        <v>7433553</v>
      </c>
      <c r="K111" s="190">
        <f t="shared" si="300"/>
        <v>7730895</v>
      </c>
      <c r="L111" s="190">
        <f t="shared" si="300"/>
        <v>8040131</v>
      </c>
      <c r="M111" s="190">
        <f t="shared" si="300"/>
        <v>8361737</v>
      </c>
    </row>
    <row r="112" spans="1:13" ht="26.25">
      <c r="A112" s="6" t="s">
        <v>237</v>
      </c>
      <c r="B112" s="7" t="s">
        <v>238</v>
      </c>
      <c r="C112" s="187">
        <f t="shared" ref="C112" si="301">C110-C111</f>
        <v>247376.88540000096</v>
      </c>
      <c r="D112" s="187">
        <f t="shared" ref="D112" si="302">D110-D111</f>
        <v>766984.70800000057</v>
      </c>
      <c r="E112" s="187">
        <f t="shared" ref="E112" si="303">E110-E111</f>
        <v>793271</v>
      </c>
      <c r="F112" s="187">
        <f t="shared" ref="F112" si="304">F110-F111</f>
        <v>796025</v>
      </c>
      <c r="G112" s="187">
        <f t="shared" ref="G112" si="305">G110-G111</f>
        <v>824781</v>
      </c>
      <c r="H112" s="187">
        <f t="shared" ref="H112" si="306">H110-H111</f>
        <v>854579</v>
      </c>
      <c r="I112" s="187">
        <f t="shared" ref="I112" si="307">I110-I111</f>
        <v>732761</v>
      </c>
      <c r="J112" s="187">
        <f t="shared" ref="J112" si="308">J110-J111</f>
        <v>762073</v>
      </c>
      <c r="K112" s="187">
        <f t="shared" ref="K112" si="309">K110-K111</f>
        <v>792556</v>
      </c>
      <c r="L112" s="187">
        <f t="shared" ref="L112" si="310">L110-L111</f>
        <v>824261</v>
      </c>
      <c r="M112" s="187">
        <f t="shared" ref="M112" si="311">M110-M111</f>
        <v>857232</v>
      </c>
    </row>
    <row r="113" spans="1:13">
      <c r="A113" s="17">
        <v>2</v>
      </c>
      <c r="B113" s="19" t="s">
        <v>239</v>
      </c>
      <c r="C113" s="189"/>
      <c r="D113" s="189"/>
      <c r="E113" s="189"/>
      <c r="F113" s="189"/>
      <c r="G113" s="189"/>
      <c r="H113" s="189"/>
      <c r="I113" s="189"/>
      <c r="J113" s="189"/>
      <c r="K113" s="189"/>
      <c r="L113" s="189"/>
      <c r="M113" s="189"/>
    </row>
    <row r="114" spans="1:13">
      <c r="A114" s="6" t="s">
        <v>240</v>
      </c>
      <c r="B114" s="7" t="s">
        <v>241</v>
      </c>
      <c r="C114" s="187">
        <f t="shared" ref="C114" si="312">C81-C59-C94</f>
        <v>0</v>
      </c>
      <c r="D114" s="187">
        <f t="shared" ref="D114:M114" si="313">D81-D59-D94</f>
        <v>0</v>
      </c>
      <c r="E114" s="187">
        <f t="shared" si="313"/>
        <v>0</v>
      </c>
      <c r="F114" s="187">
        <f t="shared" si="313"/>
        <v>0</v>
      </c>
      <c r="G114" s="187">
        <f t="shared" si="313"/>
        <v>0</v>
      </c>
      <c r="H114" s="187">
        <f t="shared" si="313"/>
        <v>0</v>
      </c>
      <c r="I114" s="187">
        <f t="shared" si="313"/>
        <v>0</v>
      </c>
      <c r="J114" s="187">
        <f t="shared" si="313"/>
        <v>0</v>
      </c>
      <c r="K114" s="187">
        <f t="shared" si="313"/>
        <v>0</v>
      </c>
      <c r="L114" s="187">
        <f t="shared" si="313"/>
        <v>0</v>
      </c>
      <c r="M114" s="187">
        <f t="shared" si="313"/>
        <v>0</v>
      </c>
    </row>
    <row r="115" spans="1:13" ht="26.25">
      <c r="A115" s="20" t="s">
        <v>242</v>
      </c>
      <c r="B115" s="21" t="s">
        <v>243</v>
      </c>
      <c r="C115" s="191"/>
      <c r="D115" s="191"/>
      <c r="E115" s="191"/>
      <c r="F115" s="191"/>
      <c r="G115" s="191"/>
      <c r="H115" s="191"/>
      <c r="I115" s="191"/>
      <c r="J115" s="191"/>
      <c r="K115" s="191"/>
      <c r="L115" s="191"/>
      <c r="M115" s="191"/>
    </row>
    <row r="116" spans="1:13">
      <c r="A116" s="6" t="s">
        <v>244</v>
      </c>
      <c r="B116" s="7" t="s">
        <v>245</v>
      </c>
      <c r="C116" s="192">
        <f t="shared" ref="C116" si="314">C4+C101+C104</f>
        <v>10600645.030000001</v>
      </c>
      <c r="D116" s="192">
        <f t="shared" ref="D116:M116" si="315">D4+D101+D104</f>
        <v>6477123.3270000005</v>
      </c>
      <c r="E116" s="192">
        <f t="shared" si="315"/>
        <v>6736207</v>
      </c>
      <c r="F116" s="192">
        <f t="shared" si="315"/>
        <v>7005656</v>
      </c>
      <c r="G116" s="192">
        <f t="shared" si="315"/>
        <v>7285881</v>
      </c>
      <c r="H116" s="192">
        <f t="shared" si="315"/>
        <v>7577316</v>
      </c>
      <c r="I116" s="192">
        <f t="shared" si="315"/>
        <v>7880409</v>
      </c>
      <c r="J116" s="192">
        <f t="shared" si="315"/>
        <v>8195626</v>
      </c>
      <c r="K116" s="192">
        <f t="shared" si="315"/>
        <v>8523451</v>
      </c>
      <c r="L116" s="192">
        <f t="shared" si="315"/>
        <v>8864392</v>
      </c>
      <c r="M116" s="192">
        <f t="shared" si="315"/>
        <v>9218969</v>
      </c>
    </row>
    <row r="117" spans="1:13">
      <c r="A117" s="6" t="s">
        <v>246</v>
      </c>
      <c r="B117" s="7" t="s">
        <v>247</v>
      </c>
      <c r="C117" s="187">
        <f t="shared" ref="C117" si="316">C43+C102+C105</f>
        <v>10596681.1446</v>
      </c>
      <c r="D117" s="187">
        <f t="shared" ref="D117:M117" si="317">D43+D102+D105</f>
        <v>6062046.6189999999</v>
      </c>
      <c r="E117" s="187">
        <f t="shared" si="317"/>
        <v>6292936</v>
      </c>
      <c r="F117" s="187">
        <f t="shared" si="317"/>
        <v>6509631</v>
      </c>
      <c r="G117" s="187">
        <f t="shared" si="317"/>
        <v>6761100</v>
      </c>
      <c r="H117" s="187">
        <f t="shared" si="317"/>
        <v>7022737</v>
      </c>
      <c r="I117" s="187">
        <f t="shared" si="317"/>
        <v>7147648</v>
      </c>
      <c r="J117" s="187">
        <f t="shared" si="317"/>
        <v>7433553</v>
      </c>
      <c r="K117" s="187">
        <f t="shared" si="317"/>
        <v>7730895</v>
      </c>
      <c r="L117" s="187">
        <f t="shared" si="317"/>
        <v>8040131</v>
      </c>
      <c r="M117" s="187">
        <f t="shared" si="317"/>
        <v>8361737</v>
      </c>
    </row>
    <row r="118" spans="1:13" ht="13.5" customHeight="1" thickBot="1">
      <c r="A118" s="22" t="s">
        <v>248</v>
      </c>
      <c r="B118" s="23" t="s">
        <v>249</v>
      </c>
      <c r="C118" s="193">
        <f t="shared" ref="C118" si="318">C116-C117</f>
        <v>3963.8854000009596</v>
      </c>
      <c r="D118" s="193">
        <f t="shared" ref="D118" si="319">D116-D117</f>
        <v>415076.70800000057</v>
      </c>
      <c r="E118" s="193">
        <f t="shared" ref="E118" si="320">E116-E117</f>
        <v>443271</v>
      </c>
      <c r="F118" s="193">
        <f t="shared" ref="F118" si="321">F116-F117</f>
        <v>496025</v>
      </c>
      <c r="G118" s="193">
        <f t="shared" ref="G118" si="322">G116-G117</f>
        <v>524781</v>
      </c>
      <c r="H118" s="193">
        <f t="shared" ref="H118" si="323">H116-H117</f>
        <v>554579</v>
      </c>
      <c r="I118" s="193">
        <f t="shared" ref="I118" si="324">I116-I117</f>
        <v>732761</v>
      </c>
      <c r="J118" s="193">
        <f t="shared" ref="J118" si="325">J116-J117</f>
        <v>762073</v>
      </c>
      <c r="K118" s="193">
        <f t="shared" ref="K118" si="326">K116-K117</f>
        <v>792556</v>
      </c>
      <c r="L118" s="193">
        <f t="shared" ref="L118" si="327">L116-L117</f>
        <v>824261</v>
      </c>
      <c r="M118" s="193">
        <f t="shared" ref="M118" si="328">M116-M117</f>
        <v>857232</v>
      </c>
    </row>
    <row r="119" spans="1:13" ht="8.25" customHeight="1"/>
    <row r="120" spans="1:13" ht="15.75" thickBot="1">
      <c r="A120" s="22"/>
      <c r="B120" s="23" t="s">
        <v>549</v>
      </c>
      <c r="C120" s="193">
        <v>800954</v>
      </c>
      <c r="D120" s="193">
        <f>+C120-D102-D105</f>
        <v>625000</v>
      </c>
      <c r="E120" s="193">
        <f t="shared" ref="E120:M120" si="329">+D120-E102-E105</f>
        <v>450000</v>
      </c>
      <c r="F120" s="193">
        <f t="shared" si="329"/>
        <v>300000</v>
      </c>
      <c r="G120" s="193">
        <f t="shared" si="329"/>
        <v>150000</v>
      </c>
      <c r="H120" s="193">
        <f t="shared" si="329"/>
        <v>0</v>
      </c>
      <c r="I120" s="193">
        <v>0</v>
      </c>
      <c r="J120" s="193">
        <f t="shared" si="329"/>
        <v>0</v>
      </c>
      <c r="K120" s="193">
        <f t="shared" si="329"/>
        <v>0</v>
      </c>
      <c r="L120" s="193">
        <f t="shared" si="329"/>
        <v>0</v>
      </c>
      <c r="M120" s="193">
        <f t="shared" si="329"/>
        <v>0</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dimension ref="A1:M54"/>
  <sheetViews>
    <sheetView topLeftCell="B1" zoomScale="120" zoomScaleNormal="120" workbookViewId="0">
      <selection activeCell="E25" sqref="E25"/>
    </sheetView>
  </sheetViews>
  <sheetFormatPr baseColWidth="10" defaultRowHeight="13.5"/>
  <cols>
    <col min="1" max="1" width="10.140625" style="43" hidden="1" customWidth="1"/>
    <col min="2" max="2" width="37.85546875" style="43" bestFit="1" customWidth="1"/>
    <col min="3" max="3" width="9.85546875" style="89" customWidth="1"/>
    <col min="4" max="4" width="9.85546875" style="56" customWidth="1"/>
    <col min="5" max="5" width="9.85546875" style="57" customWidth="1"/>
    <col min="6" max="13" width="9.85546875" style="43" customWidth="1"/>
    <col min="14" max="255" width="11.42578125" style="43"/>
    <col min="256" max="256" width="10.140625" style="43" bestFit="1" customWidth="1"/>
    <col min="257" max="257" width="54.5703125" style="43" customWidth="1"/>
    <col min="258" max="258" width="15.7109375" style="43" customWidth="1"/>
    <col min="259" max="259" width="14" style="43" customWidth="1"/>
    <col min="260" max="260" width="14.42578125" style="43" bestFit="1" customWidth="1"/>
    <col min="261" max="511" width="11.42578125" style="43"/>
    <col min="512" max="512" width="10.140625" style="43" bestFit="1" customWidth="1"/>
    <col min="513" max="513" width="54.5703125" style="43" customWidth="1"/>
    <col min="514" max="514" width="15.7109375" style="43" customWidth="1"/>
    <col min="515" max="515" width="14" style="43" customWidth="1"/>
    <col min="516" max="516" width="14.42578125" style="43" bestFit="1" customWidth="1"/>
    <col min="517" max="767" width="11.42578125" style="43"/>
    <col min="768" max="768" width="10.140625" style="43" bestFit="1" customWidth="1"/>
    <col min="769" max="769" width="54.5703125" style="43" customWidth="1"/>
    <col min="770" max="770" width="15.7109375" style="43" customWidth="1"/>
    <col min="771" max="771" width="14" style="43" customWidth="1"/>
    <col min="772" max="772" width="14.42578125" style="43" bestFit="1" customWidth="1"/>
    <col min="773" max="1023" width="11.42578125" style="43"/>
    <col min="1024" max="1024" width="10.140625" style="43" bestFit="1" customWidth="1"/>
    <col min="1025" max="1025" width="54.5703125" style="43" customWidth="1"/>
    <col min="1026" max="1026" width="15.7109375" style="43" customWidth="1"/>
    <col min="1027" max="1027" width="14" style="43" customWidth="1"/>
    <col min="1028" max="1028" width="14.42578125" style="43" bestFit="1" customWidth="1"/>
    <col min="1029" max="1279" width="11.42578125" style="43"/>
    <col min="1280" max="1280" width="10.140625" style="43" bestFit="1" customWidth="1"/>
    <col min="1281" max="1281" width="54.5703125" style="43" customWidth="1"/>
    <col min="1282" max="1282" width="15.7109375" style="43" customWidth="1"/>
    <col min="1283" max="1283" width="14" style="43" customWidth="1"/>
    <col min="1284" max="1284" width="14.42578125" style="43" bestFit="1" customWidth="1"/>
    <col min="1285" max="1535" width="11.42578125" style="43"/>
    <col min="1536" max="1536" width="10.140625" style="43" bestFit="1" customWidth="1"/>
    <col min="1537" max="1537" width="54.5703125" style="43" customWidth="1"/>
    <col min="1538" max="1538" width="15.7109375" style="43" customWidth="1"/>
    <col min="1539" max="1539" width="14" style="43" customWidth="1"/>
    <col min="1540" max="1540" width="14.42578125" style="43" bestFit="1" customWidth="1"/>
    <col min="1541" max="1791" width="11.42578125" style="43"/>
    <col min="1792" max="1792" width="10.140625" style="43" bestFit="1" customWidth="1"/>
    <col min="1793" max="1793" width="54.5703125" style="43" customWidth="1"/>
    <col min="1794" max="1794" width="15.7109375" style="43" customWidth="1"/>
    <col min="1795" max="1795" width="14" style="43" customWidth="1"/>
    <col min="1796" max="1796" width="14.42578125" style="43" bestFit="1" customWidth="1"/>
    <col min="1797" max="2047" width="11.42578125" style="43"/>
    <col min="2048" max="2048" width="10.140625" style="43" bestFit="1" customWidth="1"/>
    <col min="2049" max="2049" width="54.5703125" style="43" customWidth="1"/>
    <col min="2050" max="2050" width="15.7109375" style="43" customWidth="1"/>
    <col min="2051" max="2051" width="14" style="43" customWidth="1"/>
    <col min="2052" max="2052" width="14.42578125" style="43" bestFit="1" customWidth="1"/>
    <col min="2053" max="2303" width="11.42578125" style="43"/>
    <col min="2304" max="2304" width="10.140625" style="43" bestFit="1" customWidth="1"/>
    <col min="2305" max="2305" width="54.5703125" style="43" customWidth="1"/>
    <col min="2306" max="2306" width="15.7109375" style="43" customWidth="1"/>
    <col min="2307" max="2307" width="14" style="43" customWidth="1"/>
    <col min="2308" max="2308" width="14.42578125" style="43" bestFit="1" customWidth="1"/>
    <col min="2309" max="2559" width="11.42578125" style="43"/>
    <col min="2560" max="2560" width="10.140625" style="43" bestFit="1" customWidth="1"/>
    <col min="2561" max="2561" width="54.5703125" style="43" customWidth="1"/>
    <col min="2562" max="2562" width="15.7109375" style="43" customWidth="1"/>
    <col min="2563" max="2563" width="14" style="43" customWidth="1"/>
    <col min="2564" max="2564" width="14.42578125" style="43" bestFit="1" customWidth="1"/>
    <col min="2565" max="2815" width="11.42578125" style="43"/>
    <col min="2816" max="2816" width="10.140625" style="43" bestFit="1" customWidth="1"/>
    <col min="2817" max="2817" width="54.5703125" style="43" customWidth="1"/>
    <col min="2818" max="2818" width="15.7109375" style="43" customWidth="1"/>
    <col min="2819" max="2819" width="14" style="43" customWidth="1"/>
    <col min="2820" max="2820" width="14.42578125" style="43" bestFit="1" customWidth="1"/>
    <col min="2821" max="3071" width="11.42578125" style="43"/>
    <col min="3072" max="3072" width="10.140625" style="43" bestFit="1" customWidth="1"/>
    <col min="3073" max="3073" width="54.5703125" style="43" customWidth="1"/>
    <col min="3074" max="3074" width="15.7109375" style="43" customWidth="1"/>
    <col min="3075" max="3075" width="14" style="43" customWidth="1"/>
    <col min="3076" max="3076" width="14.42578125" style="43" bestFit="1" customWidth="1"/>
    <col min="3077" max="3327" width="11.42578125" style="43"/>
    <col min="3328" max="3328" width="10.140625" style="43" bestFit="1" customWidth="1"/>
    <col min="3329" max="3329" width="54.5703125" style="43" customWidth="1"/>
    <col min="3330" max="3330" width="15.7109375" style="43" customWidth="1"/>
    <col min="3331" max="3331" width="14" style="43" customWidth="1"/>
    <col min="3332" max="3332" width="14.42578125" style="43" bestFit="1" customWidth="1"/>
    <col min="3333" max="3583" width="11.42578125" style="43"/>
    <col min="3584" max="3584" width="10.140625" style="43" bestFit="1" customWidth="1"/>
    <col min="3585" max="3585" width="54.5703125" style="43" customWidth="1"/>
    <col min="3586" max="3586" width="15.7109375" style="43" customWidth="1"/>
    <col min="3587" max="3587" width="14" style="43" customWidth="1"/>
    <col min="3588" max="3588" width="14.42578125" style="43" bestFit="1" customWidth="1"/>
    <col min="3589" max="3839" width="11.42578125" style="43"/>
    <col min="3840" max="3840" width="10.140625" style="43" bestFit="1" customWidth="1"/>
    <col min="3841" max="3841" width="54.5703125" style="43" customWidth="1"/>
    <col min="3842" max="3842" width="15.7109375" style="43" customWidth="1"/>
    <col min="3843" max="3843" width="14" style="43" customWidth="1"/>
    <col min="3844" max="3844" width="14.42578125" style="43" bestFit="1" customWidth="1"/>
    <col min="3845" max="4095" width="11.42578125" style="43"/>
    <col min="4096" max="4096" width="10.140625" style="43" bestFit="1" customWidth="1"/>
    <col min="4097" max="4097" width="54.5703125" style="43" customWidth="1"/>
    <col min="4098" max="4098" width="15.7109375" style="43" customWidth="1"/>
    <col min="4099" max="4099" width="14" style="43" customWidth="1"/>
    <col min="4100" max="4100" width="14.42578125" style="43" bestFit="1" customWidth="1"/>
    <col min="4101" max="4351" width="11.42578125" style="43"/>
    <col min="4352" max="4352" width="10.140625" style="43" bestFit="1" customWidth="1"/>
    <col min="4353" max="4353" width="54.5703125" style="43" customWidth="1"/>
    <col min="4354" max="4354" width="15.7109375" style="43" customWidth="1"/>
    <col min="4355" max="4355" width="14" style="43" customWidth="1"/>
    <col min="4356" max="4356" width="14.42578125" style="43" bestFit="1" customWidth="1"/>
    <col min="4357" max="4607" width="11.42578125" style="43"/>
    <col min="4608" max="4608" width="10.140625" style="43" bestFit="1" customWidth="1"/>
    <col min="4609" max="4609" width="54.5703125" style="43" customWidth="1"/>
    <col min="4610" max="4610" width="15.7109375" style="43" customWidth="1"/>
    <col min="4611" max="4611" width="14" style="43" customWidth="1"/>
    <col min="4612" max="4612" width="14.42578125" style="43" bestFit="1" customWidth="1"/>
    <col min="4613" max="4863" width="11.42578125" style="43"/>
    <col min="4864" max="4864" width="10.140625" style="43" bestFit="1" customWidth="1"/>
    <col min="4865" max="4865" width="54.5703125" style="43" customWidth="1"/>
    <col min="4866" max="4866" width="15.7109375" style="43" customWidth="1"/>
    <col min="4867" max="4867" width="14" style="43" customWidth="1"/>
    <col min="4868" max="4868" width="14.42578125" style="43" bestFit="1" customWidth="1"/>
    <col min="4869" max="5119" width="11.42578125" style="43"/>
    <col min="5120" max="5120" width="10.140625" style="43" bestFit="1" customWidth="1"/>
    <col min="5121" max="5121" width="54.5703125" style="43" customWidth="1"/>
    <col min="5122" max="5122" width="15.7109375" style="43" customWidth="1"/>
    <col min="5123" max="5123" width="14" style="43" customWidth="1"/>
    <col min="5124" max="5124" width="14.42578125" style="43" bestFit="1" customWidth="1"/>
    <col min="5125" max="5375" width="11.42578125" style="43"/>
    <col min="5376" max="5376" width="10.140625" style="43" bestFit="1" customWidth="1"/>
    <col min="5377" max="5377" width="54.5703125" style="43" customWidth="1"/>
    <col min="5378" max="5378" width="15.7109375" style="43" customWidth="1"/>
    <col min="5379" max="5379" width="14" style="43" customWidth="1"/>
    <col min="5380" max="5380" width="14.42578125" style="43" bestFit="1" customWidth="1"/>
    <col min="5381" max="5631" width="11.42578125" style="43"/>
    <col min="5632" max="5632" width="10.140625" style="43" bestFit="1" customWidth="1"/>
    <col min="5633" max="5633" width="54.5703125" style="43" customWidth="1"/>
    <col min="5634" max="5634" width="15.7109375" style="43" customWidth="1"/>
    <col min="5635" max="5635" width="14" style="43" customWidth="1"/>
    <col min="5636" max="5636" width="14.42578125" style="43" bestFit="1" customWidth="1"/>
    <col min="5637" max="5887" width="11.42578125" style="43"/>
    <col min="5888" max="5888" width="10.140625" style="43" bestFit="1" customWidth="1"/>
    <col min="5889" max="5889" width="54.5703125" style="43" customWidth="1"/>
    <col min="5890" max="5890" width="15.7109375" style="43" customWidth="1"/>
    <col min="5891" max="5891" width="14" style="43" customWidth="1"/>
    <col min="5892" max="5892" width="14.42578125" style="43" bestFit="1" customWidth="1"/>
    <col min="5893" max="6143" width="11.42578125" style="43"/>
    <col min="6144" max="6144" width="10.140625" style="43" bestFit="1" customWidth="1"/>
    <col min="6145" max="6145" width="54.5703125" style="43" customWidth="1"/>
    <col min="6146" max="6146" width="15.7109375" style="43" customWidth="1"/>
    <col min="6147" max="6147" width="14" style="43" customWidth="1"/>
    <col min="6148" max="6148" width="14.42578125" style="43" bestFit="1" customWidth="1"/>
    <col min="6149" max="6399" width="11.42578125" style="43"/>
    <col min="6400" max="6400" width="10.140625" style="43" bestFit="1" customWidth="1"/>
    <col min="6401" max="6401" width="54.5703125" style="43" customWidth="1"/>
    <col min="6402" max="6402" width="15.7109375" style="43" customWidth="1"/>
    <col min="6403" max="6403" width="14" style="43" customWidth="1"/>
    <col min="6404" max="6404" width="14.42578125" style="43" bestFit="1" customWidth="1"/>
    <col min="6405" max="6655" width="11.42578125" style="43"/>
    <col min="6656" max="6656" width="10.140625" style="43" bestFit="1" customWidth="1"/>
    <col min="6657" max="6657" width="54.5703125" style="43" customWidth="1"/>
    <col min="6658" max="6658" width="15.7109375" style="43" customWidth="1"/>
    <col min="6659" max="6659" width="14" style="43" customWidth="1"/>
    <col min="6660" max="6660" width="14.42578125" style="43" bestFit="1" customWidth="1"/>
    <col min="6661" max="6911" width="11.42578125" style="43"/>
    <col min="6912" max="6912" width="10.140625" style="43" bestFit="1" customWidth="1"/>
    <col min="6913" max="6913" width="54.5703125" style="43" customWidth="1"/>
    <col min="6914" max="6914" width="15.7109375" style="43" customWidth="1"/>
    <col min="6915" max="6915" width="14" style="43" customWidth="1"/>
    <col min="6916" max="6916" width="14.42578125" style="43" bestFit="1" customWidth="1"/>
    <col min="6917" max="7167" width="11.42578125" style="43"/>
    <col min="7168" max="7168" width="10.140625" style="43" bestFit="1" customWidth="1"/>
    <col min="7169" max="7169" width="54.5703125" style="43" customWidth="1"/>
    <col min="7170" max="7170" width="15.7109375" style="43" customWidth="1"/>
    <col min="7171" max="7171" width="14" style="43" customWidth="1"/>
    <col min="7172" max="7172" width="14.42578125" style="43" bestFit="1" customWidth="1"/>
    <col min="7173" max="7423" width="11.42578125" style="43"/>
    <col min="7424" max="7424" width="10.140625" style="43" bestFit="1" customWidth="1"/>
    <col min="7425" max="7425" width="54.5703125" style="43" customWidth="1"/>
    <col min="7426" max="7426" width="15.7109375" style="43" customWidth="1"/>
    <col min="7427" max="7427" width="14" style="43" customWidth="1"/>
    <col min="7428" max="7428" width="14.42578125" style="43" bestFit="1" customWidth="1"/>
    <col min="7429" max="7679" width="11.42578125" style="43"/>
    <col min="7680" max="7680" width="10.140625" style="43" bestFit="1" customWidth="1"/>
    <col min="7681" max="7681" width="54.5703125" style="43" customWidth="1"/>
    <col min="7682" max="7682" width="15.7109375" style="43" customWidth="1"/>
    <col min="7683" max="7683" width="14" style="43" customWidth="1"/>
    <col min="7684" max="7684" width="14.42578125" style="43" bestFit="1" customWidth="1"/>
    <col min="7685" max="7935" width="11.42578125" style="43"/>
    <col min="7936" max="7936" width="10.140625" style="43" bestFit="1" customWidth="1"/>
    <col min="7937" max="7937" width="54.5703125" style="43" customWidth="1"/>
    <col min="7938" max="7938" width="15.7109375" style="43" customWidth="1"/>
    <col min="7939" max="7939" width="14" style="43" customWidth="1"/>
    <col min="7940" max="7940" width="14.42578125" style="43" bestFit="1" customWidth="1"/>
    <col min="7941" max="8191" width="11.42578125" style="43"/>
    <col min="8192" max="8192" width="10.140625" style="43" bestFit="1" customWidth="1"/>
    <col min="8193" max="8193" width="54.5703125" style="43" customWidth="1"/>
    <col min="8194" max="8194" width="15.7109375" style="43" customWidth="1"/>
    <col min="8195" max="8195" width="14" style="43" customWidth="1"/>
    <col min="8196" max="8196" width="14.42578125" style="43" bestFit="1" customWidth="1"/>
    <col min="8197" max="8447" width="11.42578125" style="43"/>
    <col min="8448" max="8448" width="10.140625" style="43" bestFit="1" customWidth="1"/>
    <col min="8449" max="8449" width="54.5703125" style="43" customWidth="1"/>
    <col min="8450" max="8450" width="15.7109375" style="43" customWidth="1"/>
    <col min="8451" max="8451" width="14" style="43" customWidth="1"/>
    <col min="8452" max="8452" width="14.42578125" style="43" bestFit="1" customWidth="1"/>
    <col min="8453" max="8703" width="11.42578125" style="43"/>
    <col min="8704" max="8704" width="10.140625" style="43" bestFit="1" customWidth="1"/>
    <col min="8705" max="8705" width="54.5703125" style="43" customWidth="1"/>
    <col min="8706" max="8706" width="15.7109375" style="43" customWidth="1"/>
    <col min="8707" max="8707" width="14" style="43" customWidth="1"/>
    <col min="8708" max="8708" width="14.42578125" style="43" bestFit="1" customWidth="1"/>
    <col min="8709" max="8959" width="11.42578125" style="43"/>
    <col min="8960" max="8960" width="10.140625" style="43" bestFit="1" customWidth="1"/>
    <col min="8961" max="8961" width="54.5703125" style="43" customWidth="1"/>
    <col min="8962" max="8962" width="15.7109375" style="43" customWidth="1"/>
    <col min="8963" max="8963" width="14" style="43" customWidth="1"/>
    <col min="8964" max="8964" width="14.42578125" style="43" bestFit="1" customWidth="1"/>
    <col min="8965" max="9215" width="11.42578125" style="43"/>
    <col min="9216" max="9216" width="10.140625" style="43" bestFit="1" customWidth="1"/>
    <col min="9217" max="9217" width="54.5703125" style="43" customWidth="1"/>
    <col min="9218" max="9218" width="15.7109375" style="43" customWidth="1"/>
    <col min="9219" max="9219" width="14" style="43" customWidth="1"/>
    <col min="9220" max="9220" width="14.42578125" style="43" bestFit="1" customWidth="1"/>
    <col min="9221" max="9471" width="11.42578125" style="43"/>
    <col min="9472" max="9472" width="10.140625" style="43" bestFit="1" customWidth="1"/>
    <col min="9473" max="9473" width="54.5703125" style="43" customWidth="1"/>
    <col min="9474" max="9474" width="15.7109375" style="43" customWidth="1"/>
    <col min="9475" max="9475" width="14" style="43" customWidth="1"/>
    <col min="9476" max="9476" width="14.42578125" style="43" bestFit="1" customWidth="1"/>
    <col min="9477" max="9727" width="11.42578125" style="43"/>
    <col min="9728" max="9728" width="10.140625" style="43" bestFit="1" customWidth="1"/>
    <col min="9729" max="9729" width="54.5703125" style="43" customWidth="1"/>
    <col min="9730" max="9730" width="15.7109375" style="43" customWidth="1"/>
    <col min="9731" max="9731" width="14" style="43" customWidth="1"/>
    <col min="9732" max="9732" width="14.42578125" style="43" bestFit="1" customWidth="1"/>
    <col min="9733" max="9983" width="11.42578125" style="43"/>
    <col min="9984" max="9984" width="10.140625" style="43" bestFit="1" customWidth="1"/>
    <col min="9985" max="9985" width="54.5703125" style="43" customWidth="1"/>
    <col min="9986" max="9986" width="15.7109375" style="43" customWidth="1"/>
    <col min="9987" max="9987" width="14" style="43" customWidth="1"/>
    <col min="9988" max="9988" width="14.42578125" style="43" bestFit="1" customWidth="1"/>
    <col min="9989" max="10239" width="11.42578125" style="43"/>
    <col min="10240" max="10240" width="10.140625" style="43" bestFit="1" customWidth="1"/>
    <col min="10241" max="10241" width="54.5703125" style="43" customWidth="1"/>
    <col min="10242" max="10242" width="15.7109375" style="43" customWidth="1"/>
    <col min="10243" max="10243" width="14" style="43" customWidth="1"/>
    <col min="10244" max="10244" width="14.42578125" style="43" bestFit="1" customWidth="1"/>
    <col min="10245" max="10495" width="11.42578125" style="43"/>
    <col min="10496" max="10496" width="10.140625" style="43" bestFit="1" customWidth="1"/>
    <col min="10497" max="10497" width="54.5703125" style="43" customWidth="1"/>
    <col min="10498" max="10498" width="15.7109375" style="43" customWidth="1"/>
    <col min="10499" max="10499" width="14" style="43" customWidth="1"/>
    <col min="10500" max="10500" width="14.42578125" style="43" bestFit="1" customWidth="1"/>
    <col min="10501" max="10751" width="11.42578125" style="43"/>
    <col min="10752" max="10752" width="10.140625" style="43" bestFit="1" customWidth="1"/>
    <col min="10753" max="10753" width="54.5703125" style="43" customWidth="1"/>
    <col min="10754" max="10754" width="15.7109375" style="43" customWidth="1"/>
    <col min="10755" max="10755" width="14" style="43" customWidth="1"/>
    <col min="10756" max="10756" width="14.42578125" style="43" bestFit="1" customWidth="1"/>
    <col min="10757" max="11007" width="11.42578125" style="43"/>
    <col min="11008" max="11008" width="10.140625" style="43" bestFit="1" customWidth="1"/>
    <col min="11009" max="11009" width="54.5703125" style="43" customWidth="1"/>
    <col min="11010" max="11010" width="15.7109375" style="43" customWidth="1"/>
    <col min="11011" max="11011" width="14" style="43" customWidth="1"/>
    <col min="11012" max="11012" width="14.42578125" style="43" bestFit="1" customWidth="1"/>
    <col min="11013" max="11263" width="11.42578125" style="43"/>
    <col min="11264" max="11264" width="10.140625" style="43" bestFit="1" customWidth="1"/>
    <col min="11265" max="11265" width="54.5703125" style="43" customWidth="1"/>
    <col min="11266" max="11266" width="15.7109375" style="43" customWidth="1"/>
    <col min="11267" max="11267" width="14" style="43" customWidth="1"/>
    <col min="11268" max="11268" width="14.42578125" style="43" bestFit="1" customWidth="1"/>
    <col min="11269" max="11519" width="11.42578125" style="43"/>
    <col min="11520" max="11520" width="10.140625" style="43" bestFit="1" customWidth="1"/>
    <col min="11521" max="11521" width="54.5703125" style="43" customWidth="1"/>
    <col min="11522" max="11522" width="15.7109375" style="43" customWidth="1"/>
    <col min="11523" max="11523" width="14" style="43" customWidth="1"/>
    <col min="11524" max="11524" width="14.42578125" style="43" bestFit="1" customWidth="1"/>
    <col min="11525" max="11775" width="11.42578125" style="43"/>
    <col min="11776" max="11776" width="10.140625" style="43" bestFit="1" customWidth="1"/>
    <col min="11777" max="11777" width="54.5703125" style="43" customWidth="1"/>
    <col min="11778" max="11778" width="15.7109375" style="43" customWidth="1"/>
    <col min="11779" max="11779" width="14" style="43" customWidth="1"/>
    <col min="11780" max="11780" width="14.42578125" style="43" bestFit="1" customWidth="1"/>
    <col min="11781" max="12031" width="11.42578125" style="43"/>
    <col min="12032" max="12032" width="10.140625" style="43" bestFit="1" customWidth="1"/>
    <col min="12033" max="12033" width="54.5703125" style="43" customWidth="1"/>
    <col min="12034" max="12034" width="15.7109375" style="43" customWidth="1"/>
    <col min="12035" max="12035" width="14" style="43" customWidth="1"/>
    <col min="12036" max="12036" width="14.42578125" style="43" bestFit="1" customWidth="1"/>
    <col min="12037" max="12287" width="11.42578125" style="43"/>
    <col min="12288" max="12288" width="10.140625" style="43" bestFit="1" customWidth="1"/>
    <col min="12289" max="12289" width="54.5703125" style="43" customWidth="1"/>
    <col min="12290" max="12290" width="15.7109375" style="43" customWidth="1"/>
    <col min="12291" max="12291" width="14" style="43" customWidth="1"/>
    <col min="12292" max="12292" width="14.42578125" style="43" bestFit="1" customWidth="1"/>
    <col min="12293" max="12543" width="11.42578125" style="43"/>
    <col min="12544" max="12544" width="10.140625" style="43" bestFit="1" customWidth="1"/>
    <col min="12545" max="12545" width="54.5703125" style="43" customWidth="1"/>
    <col min="12546" max="12546" width="15.7109375" style="43" customWidth="1"/>
    <col min="12547" max="12547" width="14" style="43" customWidth="1"/>
    <col min="12548" max="12548" width="14.42578125" style="43" bestFit="1" customWidth="1"/>
    <col min="12549" max="12799" width="11.42578125" style="43"/>
    <col min="12800" max="12800" width="10.140625" style="43" bestFit="1" customWidth="1"/>
    <col min="12801" max="12801" width="54.5703125" style="43" customWidth="1"/>
    <col min="12802" max="12802" width="15.7109375" style="43" customWidth="1"/>
    <col min="12803" max="12803" width="14" style="43" customWidth="1"/>
    <col min="12804" max="12804" width="14.42578125" style="43" bestFit="1" customWidth="1"/>
    <col min="12805" max="13055" width="11.42578125" style="43"/>
    <col min="13056" max="13056" width="10.140625" style="43" bestFit="1" customWidth="1"/>
    <col min="13057" max="13057" width="54.5703125" style="43" customWidth="1"/>
    <col min="13058" max="13058" width="15.7109375" style="43" customWidth="1"/>
    <col min="13059" max="13059" width="14" style="43" customWidth="1"/>
    <col min="13060" max="13060" width="14.42578125" style="43" bestFit="1" customWidth="1"/>
    <col min="13061" max="13311" width="11.42578125" style="43"/>
    <col min="13312" max="13312" width="10.140625" style="43" bestFit="1" customWidth="1"/>
    <col min="13313" max="13313" width="54.5703125" style="43" customWidth="1"/>
    <col min="13314" max="13314" width="15.7109375" style="43" customWidth="1"/>
    <col min="13315" max="13315" width="14" style="43" customWidth="1"/>
    <col min="13316" max="13316" width="14.42578125" style="43" bestFit="1" customWidth="1"/>
    <col min="13317" max="13567" width="11.42578125" style="43"/>
    <col min="13568" max="13568" width="10.140625" style="43" bestFit="1" customWidth="1"/>
    <col min="13569" max="13569" width="54.5703125" style="43" customWidth="1"/>
    <col min="13570" max="13570" width="15.7109375" style="43" customWidth="1"/>
    <col min="13571" max="13571" width="14" style="43" customWidth="1"/>
    <col min="13572" max="13572" width="14.42578125" style="43" bestFit="1" customWidth="1"/>
    <col min="13573" max="13823" width="11.42578125" style="43"/>
    <col min="13824" max="13824" width="10.140625" style="43" bestFit="1" customWidth="1"/>
    <col min="13825" max="13825" width="54.5703125" style="43" customWidth="1"/>
    <col min="13826" max="13826" width="15.7109375" style="43" customWidth="1"/>
    <col min="13827" max="13827" width="14" style="43" customWidth="1"/>
    <col min="13828" max="13828" width="14.42578125" style="43" bestFit="1" customWidth="1"/>
    <col min="13829" max="14079" width="11.42578125" style="43"/>
    <col min="14080" max="14080" width="10.140625" style="43" bestFit="1" customWidth="1"/>
    <col min="14081" max="14081" width="54.5703125" style="43" customWidth="1"/>
    <col min="14082" max="14082" width="15.7109375" style="43" customWidth="1"/>
    <col min="14083" max="14083" width="14" style="43" customWidth="1"/>
    <col min="14084" max="14084" width="14.42578125" style="43" bestFit="1" customWidth="1"/>
    <col min="14085" max="14335" width="11.42578125" style="43"/>
    <col min="14336" max="14336" width="10.140625" style="43" bestFit="1" customWidth="1"/>
    <col min="14337" max="14337" width="54.5703125" style="43" customWidth="1"/>
    <col min="14338" max="14338" width="15.7109375" style="43" customWidth="1"/>
    <col min="14339" max="14339" width="14" style="43" customWidth="1"/>
    <col min="14340" max="14340" width="14.42578125" style="43" bestFit="1" customWidth="1"/>
    <col min="14341" max="14591" width="11.42578125" style="43"/>
    <col min="14592" max="14592" width="10.140625" style="43" bestFit="1" customWidth="1"/>
    <col min="14593" max="14593" width="54.5703125" style="43" customWidth="1"/>
    <col min="14594" max="14594" width="15.7109375" style="43" customWidth="1"/>
    <col min="14595" max="14595" width="14" style="43" customWidth="1"/>
    <col min="14596" max="14596" width="14.42578125" style="43" bestFit="1" customWidth="1"/>
    <col min="14597" max="14847" width="11.42578125" style="43"/>
    <col min="14848" max="14848" width="10.140625" style="43" bestFit="1" customWidth="1"/>
    <col min="14849" max="14849" width="54.5703125" style="43" customWidth="1"/>
    <col min="14850" max="14850" width="15.7109375" style="43" customWidth="1"/>
    <col min="14851" max="14851" width="14" style="43" customWidth="1"/>
    <col min="14852" max="14852" width="14.42578125" style="43" bestFit="1" customWidth="1"/>
    <col min="14853" max="15103" width="11.42578125" style="43"/>
    <col min="15104" max="15104" width="10.140625" style="43" bestFit="1" customWidth="1"/>
    <col min="15105" max="15105" width="54.5703125" style="43" customWidth="1"/>
    <col min="15106" max="15106" width="15.7109375" style="43" customWidth="1"/>
    <col min="15107" max="15107" width="14" style="43" customWidth="1"/>
    <col min="15108" max="15108" width="14.42578125" style="43" bestFit="1" customWidth="1"/>
    <col min="15109" max="15359" width="11.42578125" style="43"/>
    <col min="15360" max="15360" width="10.140625" style="43" bestFit="1" customWidth="1"/>
    <col min="15361" max="15361" width="54.5703125" style="43" customWidth="1"/>
    <col min="15362" max="15362" width="15.7109375" style="43" customWidth="1"/>
    <col min="15363" max="15363" width="14" style="43" customWidth="1"/>
    <col min="15364" max="15364" width="14.42578125" style="43" bestFit="1" customWidth="1"/>
    <col min="15365" max="15615" width="11.42578125" style="43"/>
    <col min="15616" max="15616" width="10.140625" style="43" bestFit="1" customWidth="1"/>
    <col min="15617" max="15617" width="54.5703125" style="43" customWidth="1"/>
    <col min="15618" max="15618" width="15.7109375" style="43" customWidth="1"/>
    <col min="15619" max="15619" width="14" style="43" customWidth="1"/>
    <col min="15620" max="15620" width="14.42578125" style="43" bestFit="1" customWidth="1"/>
    <col min="15621" max="15871" width="11.42578125" style="43"/>
    <col min="15872" max="15872" width="10.140625" style="43" bestFit="1" customWidth="1"/>
    <col min="15873" max="15873" width="54.5703125" style="43" customWidth="1"/>
    <col min="15874" max="15874" width="15.7109375" style="43" customWidth="1"/>
    <col min="15875" max="15875" width="14" style="43" customWidth="1"/>
    <col min="15876" max="15876" width="14.42578125" style="43" bestFit="1" customWidth="1"/>
    <col min="15877" max="16127" width="11.42578125" style="43"/>
    <col min="16128" max="16128" width="10.140625" style="43" bestFit="1" customWidth="1"/>
    <col min="16129" max="16129" width="54.5703125" style="43" customWidth="1"/>
    <col min="16130" max="16130" width="15.7109375" style="43" customWidth="1"/>
    <col min="16131" max="16131" width="14" style="43" customWidth="1"/>
    <col min="16132" max="16132" width="14.42578125" style="43" bestFit="1" customWidth="1"/>
    <col min="16133" max="16384" width="11.42578125" style="43"/>
  </cols>
  <sheetData>
    <row r="1" spans="1:13" ht="15.75">
      <c r="A1" s="264" t="s">
        <v>539</v>
      </c>
      <c r="B1" s="264"/>
      <c r="C1" s="264"/>
      <c r="D1" s="41"/>
      <c r="E1" s="42"/>
    </row>
    <row r="2" spans="1:13" ht="15.75">
      <c r="A2" s="157"/>
      <c r="B2" s="157" t="str">
        <f>+'Datos '!B6&amp;" - "&amp;'Datos '!B4</f>
        <v>TESALIA - HUILA</v>
      </c>
      <c r="C2" s="158"/>
      <c r="D2" s="41"/>
      <c r="E2" s="42"/>
    </row>
    <row r="3" spans="1:13" ht="15" customHeight="1">
      <c r="A3" s="44" t="s">
        <v>340</v>
      </c>
      <c r="B3" s="26" t="s">
        <v>292</v>
      </c>
      <c r="C3" s="26">
        <f>+'Balance Financiero Minhacienda'!C3</f>
        <v>2011</v>
      </c>
      <c r="D3" s="26">
        <f>+'Balance Financiero Minhacienda'!D3</f>
        <v>2012</v>
      </c>
      <c r="E3" s="26">
        <f>+'Balance Financiero Minhacienda'!E3</f>
        <v>2013</v>
      </c>
      <c r="F3" s="26">
        <f>+'Balance Financiero Minhacienda'!F3</f>
        <v>2014</v>
      </c>
      <c r="G3" s="26">
        <f>+'Balance Financiero Minhacienda'!G3</f>
        <v>2015</v>
      </c>
      <c r="H3" s="26">
        <f>+'Balance Financiero Minhacienda'!H3</f>
        <v>2016</v>
      </c>
      <c r="I3" s="26">
        <f>+'Balance Financiero Minhacienda'!I3</f>
        <v>2017</v>
      </c>
      <c r="J3" s="26">
        <f>+'Balance Financiero Minhacienda'!J3</f>
        <v>2018</v>
      </c>
      <c r="K3" s="26">
        <f>+'Balance Financiero Minhacienda'!K3</f>
        <v>2019</v>
      </c>
      <c r="L3" s="26">
        <f>+'Balance Financiero Minhacienda'!L3</f>
        <v>2020</v>
      </c>
      <c r="M3" s="26">
        <f>+'Balance Financiero Minhacienda'!M3</f>
        <v>2021</v>
      </c>
    </row>
    <row r="4" spans="1:13" ht="12.75" customHeight="1">
      <c r="A4" s="45" t="s">
        <v>341</v>
      </c>
      <c r="B4" s="24" t="s">
        <v>342</v>
      </c>
      <c r="C4" s="81">
        <f t="shared" ref="C4" si="0">+C5+C29</f>
        <v>8473204.2000000011</v>
      </c>
      <c r="D4" s="81">
        <f t="shared" ref="D4:M4" si="1">+D5+D29</f>
        <v>6446119.3269999996</v>
      </c>
      <c r="E4" s="81">
        <f t="shared" si="1"/>
        <v>6703963</v>
      </c>
      <c r="F4" s="81">
        <f t="shared" si="1"/>
        <v>6972122</v>
      </c>
      <c r="G4" s="81">
        <f t="shared" si="1"/>
        <v>7251006</v>
      </c>
      <c r="H4" s="81">
        <f t="shared" si="1"/>
        <v>7541046</v>
      </c>
      <c r="I4" s="81">
        <f t="shared" si="1"/>
        <v>7842688</v>
      </c>
      <c r="J4" s="81">
        <f t="shared" si="1"/>
        <v>8156396</v>
      </c>
      <c r="K4" s="81">
        <f t="shared" si="1"/>
        <v>8482652</v>
      </c>
      <c r="L4" s="81">
        <f t="shared" si="1"/>
        <v>8821961</v>
      </c>
      <c r="M4" s="81">
        <f t="shared" si="1"/>
        <v>9174841</v>
      </c>
    </row>
    <row r="5" spans="1:13" ht="12.75" customHeight="1">
      <c r="A5" s="46" t="s">
        <v>343</v>
      </c>
      <c r="B5" s="6" t="s">
        <v>299</v>
      </c>
      <c r="C5" s="82">
        <f t="shared" ref="C5" si="2">+C6+C16+C17</f>
        <v>2377031.162</v>
      </c>
      <c r="D5" s="82">
        <f t="shared" ref="D5:M5" si="3">+D6+D16+D17</f>
        <v>1735939.855</v>
      </c>
      <c r="E5" s="82">
        <f t="shared" si="3"/>
        <v>1805377</v>
      </c>
      <c r="F5" s="82">
        <f t="shared" si="3"/>
        <v>1877592</v>
      </c>
      <c r="G5" s="82">
        <f t="shared" si="3"/>
        <v>1952695</v>
      </c>
      <c r="H5" s="82">
        <f t="shared" si="3"/>
        <v>2030802</v>
      </c>
      <c r="I5" s="82">
        <f t="shared" si="3"/>
        <v>2112034</v>
      </c>
      <c r="J5" s="82">
        <f t="shared" si="3"/>
        <v>2196515</v>
      </c>
      <c r="K5" s="82">
        <f t="shared" si="3"/>
        <v>2284377</v>
      </c>
      <c r="L5" s="82">
        <f t="shared" si="3"/>
        <v>2375753</v>
      </c>
      <c r="M5" s="82">
        <f t="shared" si="3"/>
        <v>2470784</v>
      </c>
    </row>
    <row r="6" spans="1:13" ht="12.75" customHeight="1">
      <c r="A6" s="46" t="s">
        <v>344</v>
      </c>
      <c r="B6" s="6" t="s">
        <v>300</v>
      </c>
      <c r="C6" s="82">
        <f t="shared" ref="C6:M6" si="4">+SUM(C7:C15)</f>
        <v>1655758.571</v>
      </c>
      <c r="D6" s="82">
        <f t="shared" si="4"/>
        <v>975057</v>
      </c>
      <c r="E6" s="82">
        <f t="shared" si="4"/>
        <v>1014059</v>
      </c>
      <c r="F6" s="82">
        <f t="shared" si="4"/>
        <v>1054621</v>
      </c>
      <c r="G6" s="82">
        <f t="shared" si="4"/>
        <v>1096806</v>
      </c>
      <c r="H6" s="82">
        <f t="shared" si="4"/>
        <v>1140678</v>
      </c>
      <c r="I6" s="82">
        <f t="shared" si="4"/>
        <v>1186305</v>
      </c>
      <c r="J6" s="82">
        <f t="shared" si="4"/>
        <v>1233757</v>
      </c>
      <c r="K6" s="82">
        <f t="shared" si="4"/>
        <v>1283108</v>
      </c>
      <c r="L6" s="82">
        <f t="shared" si="4"/>
        <v>1334433</v>
      </c>
      <c r="M6" s="82">
        <f t="shared" si="4"/>
        <v>1387811</v>
      </c>
    </row>
    <row r="7" spans="1:13" ht="12.75" customHeight="1">
      <c r="A7" s="46" t="s">
        <v>345</v>
      </c>
      <c r="B7" s="46" t="s">
        <v>301</v>
      </c>
      <c r="C7" s="83">
        <f>+'Balance Financiero Minhacienda'!C8</f>
        <v>147299.07999999999</v>
      </c>
      <c r="D7" s="83">
        <f>+'Balance Financiero Minhacienda'!D8</f>
        <v>130000</v>
      </c>
      <c r="E7" s="83">
        <f>+'Balance Financiero Minhacienda'!E8</f>
        <v>135200</v>
      </c>
      <c r="F7" s="83">
        <f>+'Balance Financiero Minhacienda'!F8</f>
        <v>140608</v>
      </c>
      <c r="G7" s="83">
        <f>+'Balance Financiero Minhacienda'!G8</f>
        <v>146232</v>
      </c>
      <c r="H7" s="83">
        <f>+'Balance Financiero Minhacienda'!H8</f>
        <v>152081</v>
      </c>
      <c r="I7" s="83">
        <f>+'Balance Financiero Minhacienda'!I8</f>
        <v>158164</v>
      </c>
      <c r="J7" s="83">
        <f>+'Balance Financiero Minhacienda'!J8</f>
        <v>164491</v>
      </c>
      <c r="K7" s="83">
        <f>+'Balance Financiero Minhacienda'!K8</f>
        <v>171071</v>
      </c>
      <c r="L7" s="83">
        <f>+'Balance Financiero Minhacienda'!L8</f>
        <v>177914</v>
      </c>
      <c r="M7" s="83">
        <f>+'Balance Financiero Minhacienda'!M8</f>
        <v>185031</v>
      </c>
    </row>
    <row r="8" spans="1:13" ht="12.75" customHeight="1">
      <c r="A8" s="46" t="s">
        <v>346</v>
      </c>
      <c r="B8" s="46" t="s">
        <v>302</v>
      </c>
      <c r="C8" s="83">
        <f>+'Balance Financiero Minhacienda'!C9</f>
        <v>1017388.178</v>
      </c>
      <c r="D8" s="83">
        <f>+'Balance Financiero Minhacienda'!D9</f>
        <v>525000</v>
      </c>
      <c r="E8" s="83">
        <f>+'Balance Financiero Minhacienda'!E9</f>
        <v>546000</v>
      </c>
      <c r="F8" s="83">
        <f>+'Balance Financiero Minhacienda'!F9</f>
        <v>567840</v>
      </c>
      <c r="G8" s="83">
        <f>+'Balance Financiero Minhacienda'!G9</f>
        <v>590554</v>
      </c>
      <c r="H8" s="83">
        <f>+'Balance Financiero Minhacienda'!H9</f>
        <v>614176</v>
      </c>
      <c r="I8" s="83">
        <f>+'Balance Financiero Minhacienda'!I9</f>
        <v>638743</v>
      </c>
      <c r="J8" s="83">
        <f>+'Balance Financiero Minhacienda'!J9</f>
        <v>664293</v>
      </c>
      <c r="K8" s="83">
        <f>+'Balance Financiero Minhacienda'!K9</f>
        <v>690865</v>
      </c>
      <c r="L8" s="83">
        <f>+'Balance Financiero Minhacienda'!L9</f>
        <v>718500</v>
      </c>
      <c r="M8" s="83">
        <f>+'Balance Financiero Minhacienda'!M9</f>
        <v>747240</v>
      </c>
    </row>
    <row r="9" spans="1:13" ht="12.75" customHeight="1">
      <c r="A9" s="47" t="s">
        <v>347</v>
      </c>
      <c r="B9" s="47" t="s">
        <v>348</v>
      </c>
      <c r="C9" s="83">
        <f>+'Balance Financiero Minhacienda'!C14</f>
        <v>234372</v>
      </c>
      <c r="D9" s="83">
        <f>+'Balance Financiero Minhacienda'!D14</f>
        <v>200000</v>
      </c>
      <c r="E9" s="83">
        <f>+'Balance Financiero Minhacienda'!E14</f>
        <v>208000</v>
      </c>
      <c r="F9" s="83">
        <f>+'Balance Financiero Minhacienda'!F14</f>
        <v>216320</v>
      </c>
      <c r="G9" s="83">
        <f>+'Balance Financiero Minhacienda'!G14</f>
        <v>224973</v>
      </c>
      <c r="H9" s="83">
        <f>+'Balance Financiero Minhacienda'!H14</f>
        <v>233972</v>
      </c>
      <c r="I9" s="83">
        <f>+'Balance Financiero Minhacienda'!I14</f>
        <v>243331</v>
      </c>
      <c r="J9" s="83">
        <f>+'Balance Financiero Minhacienda'!J14</f>
        <v>253064</v>
      </c>
      <c r="K9" s="83">
        <f>+'Balance Financiero Minhacienda'!K14</f>
        <v>263187</v>
      </c>
      <c r="L9" s="83">
        <f>+'Balance Financiero Minhacienda'!L14</f>
        <v>273714</v>
      </c>
      <c r="M9" s="83">
        <f>+'Balance Financiero Minhacienda'!M14</f>
        <v>284663</v>
      </c>
    </row>
    <row r="10" spans="1:13" ht="12.75" customHeight="1">
      <c r="A10" s="47"/>
      <c r="B10" s="47" t="s">
        <v>538</v>
      </c>
      <c r="C10" s="83">
        <f>+'Balance Financiero Minhacienda'!C12</f>
        <v>0</v>
      </c>
      <c r="D10" s="83">
        <f>+'Balance Financiero Minhacienda'!D12</f>
        <v>0</v>
      </c>
      <c r="E10" s="83">
        <f>+'Balance Financiero Minhacienda'!E12</f>
        <v>0</v>
      </c>
      <c r="F10" s="83">
        <f>+'Balance Financiero Minhacienda'!F12</f>
        <v>0</v>
      </c>
      <c r="G10" s="83">
        <f>+'Balance Financiero Minhacienda'!G12</f>
        <v>0</v>
      </c>
      <c r="H10" s="83">
        <f>+'Balance Financiero Minhacienda'!H12</f>
        <v>0</v>
      </c>
      <c r="I10" s="83">
        <f>+'Balance Financiero Minhacienda'!I12</f>
        <v>0</v>
      </c>
      <c r="J10" s="83">
        <f>+'Balance Financiero Minhacienda'!J12</f>
        <v>0</v>
      </c>
      <c r="K10" s="83">
        <f>+'Balance Financiero Minhacienda'!K12</f>
        <v>0</v>
      </c>
      <c r="L10" s="83">
        <f>+'Balance Financiero Minhacienda'!L12</f>
        <v>0</v>
      </c>
      <c r="M10" s="83">
        <f>+'Balance Financiero Minhacienda'!M12</f>
        <v>0</v>
      </c>
    </row>
    <row r="11" spans="1:13" ht="12.75" customHeight="1">
      <c r="A11" s="47"/>
      <c r="B11" s="47" t="s">
        <v>537</v>
      </c>
      <c r="C11" s="83">
        <f>+'Balance Financiero Minhacienda'!C11</f>
        <v>0</v>
      </c>
      <c r="D11" s="83">
        <f>+'Balance Financiero Minhacienda'!D11</f>
        <v>0</v>
      </c>
      <c r="E11" s="83">
        <f>+'Balance Financiero Minhacienda'!E11</f>
        <v>0</v>
      </c>
      <c r="F11" s="83">
        <f>+'Balance Financiero Minhacienda'!F11</f>
        <v>0</v>
      </c>
      <c r="G11" s="83">
        <f>+'Balance Financiero Minhacienda'!G11</f>
        <v>0</v>
      </c>
      <c r="H11" s="83">
        <f>+'Balance Financiero Minhacienda'!H11</f>
        <v>0</v>
      </c>
      <c r="I11" s="83">
        <f>+'Balance Financiero Minhacienda'!I11</f>
        <v>0</v>
      </c>
      <c r="J11" s="83">
        <f>+'Balance Financiero Minhacienda'!J11</f>
        <v>0</v>
      </c>
      <c r="K11" s="83">
        <f>+'Balance Financiero Minhacienda'!K11</f>
        <v>0</v>
      </c>
      <c r="L11" s="83">
        <f>+'Balance Financiero Minhacienda'!L11</f>
        <v>0</v>
      </c>
      <c r="M11" s="83">
        <f>+'Balance Financiero Minhacienda'!M11</f>
        <v>0</v>
      </c>
    </row>
    <row r="12" spans="1:13" ht="12.75" customHeight="1">
      <c r="A12" s="47"/>
      <c r="B12" s="47" t="s">
        <v>536</v>
      </c>
      <c r="C12" s="83">
        <f>+'Balance Financiero Minhacienda'!C13</f>
        <v>0</v>
      </c>
      <c r="D12" s="83">
        <f>+'Balance Financiero Minhacienda'!D13</f>
        <v>0</v>
      </c>
      <c r="E12" s="83">
        <f>+'Balance Financiero Minhacienda'!E13</f>
        <v>0</v>
      </c>
      <c r="F12" s="83">
        <f>+'Balance Financiero Minhacienda'!F13</f>
        <v>0</v>
      </c>
      <c r="G12" s="83">
        <f>+'Balance Financiero Minhacienda'!G13</f>
        <v>0</v>
      </c>
      <c r="H12" s="83">
        <f>+'Balance Financiero Minhacienda'!H13</f>
        <v>0</v>
      </c>
      <c r="I12" s="83">
        <f>+'Balance Financiero Minhacienda'!I13</f>
        <v>0</v>
      </c>
      <c r="J12" s="83">
        <f>+'Balance Financiero Minhacienda'!J13</f>
        <v>0</v>
      </c>
      <c r="K12" s="83">
        <f>+'Balance Financiero Minhacienda'!K13</f>
        <v>0</v>
      </c>
      <c r="L12" s="83">
        <f>+'Balance Financiero Minhacienda'!L13</f>
        <v>0</v>
      </c>
      <c r="M12" s="83">
        <f>+'Balance Financiero Minhacienda'!M13</f>
        <v>0</v>
      </c>
    </row>
    <row r="13" spans="1:13" ht="12.75" customHeight="1">
      <c r="A13" s="47"/>
      <c r="B13" s="47" t="s">
        <v>535</v>
      </c>
      <c r="C13" s="83">
        <f>+'Balance Financiero Minhacienda'!C10</f>
        <v>0</v>
      </c>
      <c r="D13" s="83">
        <f>+'Balance Financiero Minhacienda'!D10</f>
        <v>0</v>
      </c>
      <c r="E13" s="83">
        <f>+'Balance Financiero Minhacienda'!E10</f>
        <v>0</v>
      </c>
      <c r="F13" s="83">
        <f>+'Balance Financiero Minhacienda'!F10</f>
        <v>0</v>
      </c>
      <c r="G13" s="83">
        <f>+'Balance Financiero Minhacienda'!G10</f>
        <v>0</v>
      </c>
      <c r="H13" s="83">
        <f>+'Balance Financiero Minhacienda'!H10</f>
        <v>0</v>
      </c>
      <c r="I13" s="83">
        <f>+'Balance Financiero Minhacienda'!I10</f>
        <v>0</v>
      </c>
      <c r="J13" s="83">
        <f>+'Balance Financiero Minhacienda'!J10</f>
        <v>0</v>
      </c>
      <c r="K13" s="83">
        <f>+'Balance Financiero Minhacienda'!K10</f>
        <v>0</v>
      </c>
      <c r="L13" s="83">
        <f>+'Balance Financiero Minhacienda'!L10</f>
        <v>0</v>
      </c>
      <c r="M13" s="83">
        <f>+'Balance Financiero Minhacienda'!M10</f>
        <v>0</v>
      </c>
    </row>
    <row r="14" spans="1:13" ht="12.75" customHeight="1">
      <c r="A14" s="47"/>
      <c r="B14" s="47" t="s">
        <v>534</v>
      </c>
      <c r="C14" s="83">
        <f>+'Balance Financiero Minhacienda'!C7</f>
        <v>0</v>
      </c>
      <c r="D14" s="83">
        <f>+'Balance Financiero Minhacienda'!D7</f>
        <v>0</v>
      </c>
      <c r="E14" s="83">
        <f>+'Balance Financiero Minhacienda'!E7</f>
        <v>0</v>
      </c>
      <c r="F14" s="83">
        <f>+'Balance Financiero Minhacienda'!F7</f>
        <v>0</v>
      </c>
      <c r="G14" s="83">
        <f>+'Balance Financiero Minhacienda'!G7</f>
        <v>0</v>
      </c>
      <c r="H14" s="83">
        <f>+'Balance Financiero Minhacienda'!H7</f>
        <v>0</v>
      </c>
      <c r="I14" s="83">
        <f>+'Balance Financiero Minhacienda'!I7</f>
        <v>0</v>
      </c>
      <c r="J14" s="83">
        <f>+'Balance Financiero Minhacienda'!J7</f>
        <v>0</v>
      </c>
      <c r="K14" s="83">
        <f>+'Balance Financiero Minhacienda'!K7</f>
        <v>0</v>
      </c>
      <c r="L14" s="83">
        <f>+'Balance Financiero Minhacienda'!L7</f>
        <v>0</v>
      </c>
      <c r="M14" s="83">
        <f>+'Balance Financiero Minhacienda'!M7</f>
        <v>0</v>
      </c>
    </row>
    <row r="15" spans="1:13" ht="12.75" customHeight="1">
      <c r="A15" s="47" t="s">
        <v>349</v>
      </c>
      <c r="B15" s="47" t="s">
        <v>533</v>
      </c>
      <c r="C15" s="83">
        <f>+'Balance Financiero Minhacienda'!C15+'Balance Financiero Minhacienda'!C16+'Balance Financiero Minhacienda'!C17+'Balance Financiero Minhacienda'!C18</f>
        <v>256699.31299999997</v>
      </c>
      <c r="D15" s="83">
        <f>+'Balance Financiero Minhacienda'!D15+'Balance Financiero Minhacienda'!D16+'Balance Financiero Minhacienda'!D17+'Balance Financiero Minhacienda'!D18</f>
        <v>120057</v>
      </c>
      <c r="E15" s="83">
        <f>+'Balance Financiero Minhacienda'!E15+'Balance Financiero Minhacienda'!E16+'Balance Financiero Minhacienda'!E17+'Balance Financiero Minhacienda'!E18</f>
        <v>124859</v>
      </c>
      <c r="F15" s="83">
        <f>+'Balance Financiero Minhacienda'!F15+'Balance Financiero Minhacienda'!F16+'Balance Financiero Minhacienda'!F17+'Balance Financiero Minhacienda'!F18</f>
        <v>129853</v>
      </c>
      <c r="G15" s="83">
        <f>+'Balance Financiero Minhacienda'!G15+'Balance Financiero Minhacienda'!G16+'Balance Financiero Minhacienda'!G17+'Balance Financiero Minhacienda'!G18</f>
        <v>135047</v>
      </c>
      <c r="H15" s="83">
        <f>+'Balance Financiero Minhacienda'!H15+'Balance Financiero Minhacienda'!H16+'Balance Financiero Minhacienda'!H17+'Balance Financiero Minhacienda'!H18</f>
        <v>140449</v>
      </c>
      <c r="I15" s="83">
        <f>+'Balance Financiero Minhacienda'!I15+'Balance Financiero Minhacienda'!I16+'Balance Financiero Minhacienda'!I17+'Balance Financiero Minhacienda'!I18</f>
        <v>146067</v>
      </c>
      <c r="J15" s="83">
        <f>+'Balance Financiero Minhacienda'!J15+'Balance Financiero Minhacienda'!J16+'Balance Financiero Minhacienda'!J17+'Balance Financiero Minhacienda'!J18</f>
        <v>151909</v>
      </c>
      <c r="K15" s="83">
        <f>+'Balance Financiero Minhacienda'!K15+'Balance Financiero Minhacienda'!K16+'Balance Financiero Minhacienda'!K17+'Balance Financiero Minhacienda'!K18</f>
        <v>157985</v>
      </c>
      <c r="L15" s="83">
        <f>+'Balance Financiero Minhacienda'!L15+'Balance Financiero Minhacienda'!L16+'Balance Financiero Minhacienda'!L17+'Balance Financiero Minhacienda'!L18</f>
        <v>164305</v>
      </c>
      <c r="M15" s="83">
        <f>+'Balance Financiero Minhacienda'!M15+'Balance Financiero Minhacienda'!M16+'Balance Financiero Minhacienda'!M17+'Balance Financiero Minhacienda'!M18</f>
        <v>170877</v>
      </c>
    </row>
    <row r="16" spans="1:13" ht="12.75" customHeight="1">
      <c r="A16" s="46" t="s">
        <v>350</v>
      </c>
      <c r="B16" s="46" t="s">
        <v>305</v>
      </c>
      <c r="C16" s="83">
        <f>+'Balance Financiero Minhacienda'!C19</f>
        <v>163156.128</v>
      </c>
      <c r="D16" s="83">
        <f>+'Balance Financiero Minhacienda'!D19</f>
        <v>110024</v>
      </c>
      <c r="E16" s="83">
        <f>+'Balance Financiero Minhacienda'!E19</f>
        <v>114425</v>
      </c>
      <c r="F16" s="83">
        <f>+'Balance Financiero Minhacienda'!F19</f>
        <v>119002</v>
      </c>
      <c r="G16" s="83">
        <f>+'Balance Financiero Minhacienda'!G19</f>
        <v>123762</v>
      </c>
      <c r="H16" s="83">
        <f>+'Balance Financiero Minhacienda'!H19</f>
        <v>128712</v>
      </c>
      <c r="I16" s="83">
        <f>+'Balance Financiero Minhacienda'!I19</f>
        <v>133861</v>
      </c>
      <c r="J16" s="83">
        <f>+'Balance Financiero Minhacienda'!J19</f>
        <v>139215</v>
      </c>
      <c r="K16" s="83">
        <f>+'Balance Financiero Minhacienda'!K19</f>
        <v>144784</v>
      </c>
      <c r="L16" s="83">
        <f>+'Balance Financiero Minhacienda'!L19</f>
        <v>150575</v>
      </c>
      <c r="M16" s="83">
        <f>+'Balance Financiero Minhacienda'!M19</f>
        <v>156598</v>
      </c>
    </row>
    <row r="17" spans="1:13" ht="12.75" customHeight="1">
      <c r="A17" s="46" t="s">
        <v>351</v>
      </c>
      <c r="B17" s="6" t="s">
        <v>306</v>
      </c>
      <c r="C17" s="82">
        <f>+C18+C19</f>
        <v>558116.46299999999</v>
      </c>
      <c r="D17" s="82">
        <f t="shared" ref="D17:M17" si="5">+D18+D19</f>
        <v>650858.85499999998</v>
      </c>
      <c r="E17" s="82">
        <f t="shared" si="5"/>
        <v>676893</v>
      </c>
      <c r="F17" s="82">
        <f t="shared" si="5"/>
        <v>703969</v>
      </c>
      <c r="G17" s="82">
        <f t="shared" si="5"/>
        <v>732127</v>
      </c>
      <c r="H17" s="82">
        <f t="shared" si="5"/>
        <v>761412</v>
      </c>
      <c r="I17" s="82">
        <f t="shared" si="5"/>
        <v>791868</v>
      </c>
      <c r="J17" s="82">
        <f t="shared" si="5"/>
        <v>823543</v>
      </c>
      <c r="K17" s="82">
        <f t="shared" si="5"/>
        <v>856485</v>
      </c>
      <c r="L17" s="82">
        <f t="shared" si="5"/>
        <v>890745</v>
      </c>
      <c r="M17" s="82">
        <f t="shared" si="5"/>
        <v>926375</v>
      </c>
    </row>
    <row r="18" spans="1:13" ht="12.75" customHeight="1">
      <c r="A18" s="46" t="s">
        <v>352</v>
      </c>
      <c r="B18" s="46" t="s">
        <v>307</v>
      </c>
      <c r="C18" s="83">
        <f>+'Balance Financiero Minhacienda'!C24</f>
        <v>558116.46299999999</v>
      </c>
      <c r="D18" s="83">
        <f>+'Balance Financiero Minhacienda'!D24</f>
        <v>650858.85499999998</v>
      </c>
      <c r="E18" s="83">
        <f>+'Balance Financiero Minhacienda'!E24</f>
        <v>676893</v>
      </c>
      <c r="F18" s="83">
        <f>+'Balance Financiero Minhacienda'!F24</f>
        <v>703969</v>
      </c>
      <c r="G18" s="83">
        <f>+'Balance Financiero Minhacienda'!G24</f>
        <v>732127</v>
      </c>
      <c r="H18" s="83">
        <f>+'Balance Financiero Minhacienda'!H24</f>
        <v>761412</v>
      </c>
      <c r="I18" s="83">
        <f>+'Balance Financiero Minhacienda'!I24</f>
        <v>791868</v>
      </c>
      <c r="J18" s="83">
        <f>+'Balance Financiero Minhacienda'!J24</f>
        <v>823543</v>
      </c>
      <c r="K18" s="83">
        <f>+'Balance Financiero Minhacienda'!K24</f>
        <v>856485</v>
      </c>
      <c r="L18" s="83">
        <f>+'Balance Financiero Minhacienda'!L24</f>
        <v>890745</v>
      </c>
      <c r="M18" s="83">
        <f>+'Balance Financiero Minhacienda'!M24</f>
        <v>926375</v>
      </c>
    </row>
    <row r="19" spans="1:13" ht="12.75" customHeight="1">
      <c r="A19" s="46" t="s">
        <v>353</v>
      </c>
      <c r="B19" s="46" t="s">
        <v>308</v>
      </c>
      <c r="C19" s="83">
        <f>+'Balance Financiero Minhacienda'!C27+'Balance Financiero Minhacienda'!C30</f>
        <v>0</v>
      </c>
      <c r="D19" s="83">
        <f>+'Balance Financiero Minhacienda'!D27+'Balance Financiero Minhacienda'!D30</f>
        <v>0</v>
      </c>
      <c r="E19" s="83">
        <f>+'Balance Financiero Minhacienda'!E27+'Balance Financiero Minhacienda'!E30</f>
        <v>0</v>
      </c>
      <c r="F19" s="83">
        <f>+'Balance Financiero Minhacienda'!F27+'Balance Financiero Minhacienda'!F30</f>
        <v>0</v>
      </c>
      <c r="G19" s="83">
        <f>+'Balance Financiero Minhacienda'!G27+'Balance Financiero Minhacienda'!G30</f>
        <v>0</v>
      </c>
      <c r="H19" s="83">
        <f>+'Balance Financiero Minhacienda'!H27+'Balance Financiero Minhacienda'!H30</f>
        <v>0</v>
      </c>
      <c r="I19" s="83">
        <f>+'Balance Financiero Minhacienda'!I27+'Balance Financiero Minhacienda'!I30</f>
        <v>0</v>
      </c>
      <c r="J19" s="83">
        <f>+'Balance Financiero Minhacienda'!J27+'Balance Financiero Minhacienda'!J30</f>
        <v>0</v>
      </c>
      <c r="K19" s="83">
        <f>+'Balance Financiero Minhacienda'!K27+'Balance Financiero Minhacienda'!K30</f>
        <v>0</v>
      </c>
      <c r="L19" s="83">
        <f>+'Balance Financiero Minhacienda'!L27+'Balance Financiero Minhacienda'!L30</f>
        <v>0</v>
      </c>
      <c r="M19" s="83">
        <f>+'Balance Financiero Minhacienda'!M27+'Balance Financiero Minhacienda'!M30</f>
        <v>0</v>
      </c>
    </row>
    <row r="20" spans="1:13" ht="12.75" customHeight="1">
      <c r="A20" s="45" t="s">
        <v>354</v>
      </c>
      <c r="B20" s="24" t="s">
        <v>355</v>
      </c>
      <c r="C20" s="81">
        <f t="shared" ref="C20" si="6">+C21+C34</f>
        <v>10341372.144600002</v>
      </c>
      <c r="D20" s="81">
        <f t="shared" ref="D20:M20" si="7">+D21+D34</f>
        <v>5886092.6189999999</v>
      </c>
      <c r="E20" s="81">
        <f t="shared" si="7"/>
        <v>6117936</v>
      </c>
      <c r="F20" s="81">
        <f t="shared" si="7"/>
        <v>6359631</v>
      </c>
      <c r="G20" s="81">
        <f t="shared" si="7"/>
        <v>6611100</v>
      </c>
      <c r="H20" s="81">
        <f t="shared" si="7"/>
        <v>6872737</v>
      </c>
      <c r="I20" s="81">
        <f t="shared" si="7"/>
        <v>7147648</v>
      </c>
      <c r="J20" s="81">
        <f t="shared" si="7"/>
        <v>7433553</v>
      </c>
      <c r="K20" s="81">
        <f t="shared" si="7"/>
        <v>7730895</v>
      </c>
      <c r="L20" s="81">
        <f t="shared" si="7"/>
        <v>8040131</v>
      </c>
      <c r="M20" s="81">
        <f t="shared" si="7"/>
        <v>8361737</v>
      </c>
    </row>
    <row r="21" spans="1:13" ht="12.75" customHeight="1">
      <c r="A21" s="46" t="s">
        <v>356</v>
      </c>
      <c r="B21" s="46" t="s">
        <v>357</v>
      </c>
      <c r="C21" s="84">
        <f>+C22+C26</f>
        <v>1853125.9536000001</v>
      </c>
      <c r="D21" s="84">
        <f t="shared" ref="D21:M21" si="8">+D22+D26</f>
        <v>1149305</v>
      </c>
      <c r="E21" s="84">
        <f t="shared" si="8"/>
        <v>1191677</v>
      </c>
      <c r="F21" s="84">
        <f t="shared" si="8"/>
        <v>1236321</v>
      </c>
      <c r="G21" s="84">
        <f t="shared" si="8"/>
        <v>1282858</v>
      </c>
      <c r="H21" s="84">
        <f t="shared" si="8"/>
        <v>1331364</v>
      </c>
      <c r="I21" s="84">
        <f t="shared" si="8"/>
        <v>1384619</v>
      </c>
      <c r="J21" s="84">
        <f t="shared" si="8"/>
        <v>1440004</v>
      </c>
      <c r="K21" s="84">
        <f t="shared" si="8"/>
        <v>1497603</v>
      </c>
      <c r="L21" s="84">
        <f t="shared" si="8"/>
        <v>1557507</v>
      </c>
      <c r="M21" s="84">
        <f t="shared" si="8"/>
        <v>1619808</v>
      </c>
    </row>
    <row r="22" spans="1:13" ht="12.75" customHeight="1">
      <c r="A22" s="46" t="s">
        <v>358</v>
      </c>
      <c r="B22" s="46" t="s">
        <v>359</v>
      </c>
      <c r="C22" s="84">
        <f>+C23+C24+C25+C27</f>
        <v>1838708.9536000001</v>
      </c>
      <c r="D22" s="84">
        <f t="shared" ref="D22:M22" si="9">+D23+D24+D25+D27</f>
        <v>1138055</v>
      </c>
      <c r="E22" s="84">
        <f t="shared" si="9"/>
        <v>1183577</v>
      </c>
      <c r="F22" s="84">
        <f t="shared" si="9"/>
        <v>1230921</v>
      </c>
      <c r="G22" s="84">
        <f t="shared" si="9"/>
        <v>1280158</v>
      </c>
      <c r="H22" s="84">
        <f t="shared" si="9"/>
        <v>1331364</v>
      </c>
      <c r="I22" s="84">
        <f t="shared" si="9"/>
        <v>1384619</v>
      </c>
      <c r="J22" s="84">
        <f t="shared" si="9"/>
        <v>1440004</v>
      </c>
      <c r="K22" s="84">
        <f t="shared" si="9"/>
        <v>1497603</v>
      </c>
      <c r="L22" s="84">
        <f t="shared" si="9"/>
        <v>1557507</v>
      </c>
      <c r="M22" s="84">
        <f t="shared" si="9"/>
        <v>1619808</v>
      </c>
    </row>
    <row r="23" spans="1:13" ht="12.75" customHeight="1">
      <c r="A23" s="46" t="s">
        <v>360</v>
      </c>
      <c r="B23" s="46" t="s">
        <v>361</v>
      </c>
      <c r="C23" s="83">
        <f>+'Balance Financiero Minhacienda'!C46</f>
        <v>700470.24600000004</v>
      </c>
      <c r="D23" s="83">
        <f>+'Balance Financiero Minhacienda'!D46</f>
        <v>735494</v>
      </c>
      <c r="E23" s="83">
        <f>+'Balance Financiero Minhacienda'!E46</f>
        <v>764914</v>
      </c>
      <c r="F23" s="83">
        <f>+'Balance Financiero Minhacienda'!F46</f>
        <v>795511</v>
      </c>
      <c r="G23" s="83">
        <f>+'Balance Financiero Minhacienda'!G46</f>
        <v>827331</v>
      </c>
      <c r="H23" s="83">
        <f>+'Balance Financiero Minhacienda'!H46</f>
        <v>860424</v>
      </c>
      <c r="I23" s="83">
        <f>+'Balance Financiero Minhacienda'!I46</f>
        <v>894841</v>
      </c>
      <c r="J23" s="83">
        <f>+'Balance Financiero Minhacienda'!J46</f>
        <v>930635</v>
      </c>
      <c r="K23" s="83">
        <f>+'Balance Financiero Minhacienda'!K46</f>
        <v>967860</v>
      </c>
      <c r="L23" s="83">
        <f>+'Balance Financiero Minhacienda'!L46</f>
        <v>1006574</v>
      </c>
      <c r="M23" s="83">
        <f>+'Balance Financiero Minhacienda'!M46</f>
        <v>1046837</v>
      </c>
    </row>
    <row r="24" spans="1:13" ht="12.75" customHeight="1">
      <c r="A24" s="46" t="s">
        <v>362</v>
      </c>
      <c r="B24" s="46" t="s">
        <v>363</v>
      </c>
      <c r="C24" s="83">
        <f>+'Balance Financiero Minhacienda'!C47</f>
        <v>365670.32299999997</v>
      </c>
      <c r="D24" s="83">
        <f>+'Balance Financiero Minhacienda'!D47</f>
        <v>377561</v>
      </c>
      <c r="E24" s="83">
        <f>+'Balance Financiero Minhacienda'!E47</f>
        <v>392663</v>
      </c>
      <c r="F24" s="83">
        <f>+'Balance Financiero Minhacienda'!F47</f>
        <v>408370</v>
      </c>
      <c r="G24" s="83">
        <f>+'Balance Financiero Minhacienda'!G47</f>
        <v>424705</v>
      </c>
      <c r="H24" s="83">
        <f>+'Balance Financiero Minhacienda'!H47</f>
        <v>441693</v>
      </c>
      <c r="I24" s="83">
        <f>+'Balance Financiero Minhacienda'!I47</f>
        <v>459361</v>
      </c>
      <c r="J24" s="83">
        <f>+'Balance Financiero Minhacienda'!J47</f>
        <v>477735</v>
      </c>
      <c r="K24" s="83">
        <f>+'Balance Financiero Minhacienda'!K47</f>
        <v>496844</v>
      </c>
      <c r="L24" s="83">
        <f>+'Balance Financiero Minhacienda'!L47</f>
        <v>516718</v>
      </c>
      <c r="M24" s="83">
        <f>+'Balance Financiero Minhacienda'!M47</f>
        <v>537387</v>
      </c>
    </row>
    <row r="25" spans="1:13" ht="12.75" customHeight="1">
      <c r="A25" s="46" t="s">
        <v>364</v>
      </c>
      <c r="B25" s="47" t="s">
        <v>478</v>
      </c>
      <c r="C25" s="83">
        <f>+'Balance Financiero Minhacienda'!C48+SUM('Balance Financiero Minhacienda'!C56:C59)</f>
        <v>772568.38459999999</v>
      </c>
      <c r="D25" s="83">
        <f>+'Balance Financiero Minhacienda'!D48+SUM('Balance Financiero Minhacienda'!D56:D59)</f>
        <v>25000</v>
      </c>
      <c r="E25" s="83">
        <f>+'Balance Financiero Minhacienda'!E48+SUM('Balance Financiero Minhacienda'!E56:E59)</f>
        <v>26000</v>
      </c>
      <c r="F25" s="83">
        <f>+'Balance Financiero Minhacienda'!F48+SUM('Balance Financiero Minhacienda'!F56:F59)</f>
        <v>27040</v>
      </c>
      <c r="G25" s="83">
        <f>+'Balance Financiero Minhacienda'!G48+SUM('Balance Financiero Minhacienda'!G56:G59)</f>
        <v>28122</v>
      </c>
      <c r="H25" s="83">
        <f>+'Balance Financiero Minhacienda'!H48+SUM('Balance Financiero Minhacienda'!H56:H59)</f>
        <v>29247</v>
      </c>
      <c r="I25" s="83">
        <f>+'Balance Financiero Minhacienda'!I48+SUM('Balance Financiero Minhacienda'!I56:I59)</f>
        <v>30417</v>
      </c>
      <c r="J25" s="83">
        <f>+'Balance Financiero Minhacienda'!J48+SUM('Balance Financiero Minhacienda'!J56:J59)</f>
        <v>31634</v>
      </c>
      <c r="K25" s="83">
        <f>+'Balance Financiero Minhacienda'!K48+SUM('Balance Financiero Minhacienda'!K56:K59)</f>
        <v>32899</v>
      </c>
      <c r="L25" s="83">
        <f>+'Balance Financiero Minhacienda'!L48+SUM('Balance Financiero Minhacienda'!L56:L59)</f>
        <v>34215</v>
      </c>
      <c r="M25" s="83">
        <f>+'Balance Financiero Minhacienda'!M48+SUM('Balance Financiero Minhacienda'!M56:M59)</f>
        <v>35584</v>
      </c>
    </row>
    <row r="26" spans="1:13" ht="12.75" customHeight="1">
      <c r="A26" s="46" t="s">
        <v>365</v>
      </c>
      <c r="B26" s="46" t="s">
        <v>366</v>
      </c>
      <c r="C26" s="84">
        <f>+'Balance Financiero Minhacienda'!C70</f>
        <v>14417</v>
      </c>
      <c r="D26" s="84">
        <f>+'Balance Financiero Minhacienda'!D70</f>
        <v>11250.000000000002</v>
      </c>
      <c r="E26" s="84">
        <f>+'Balance Financiero Minhacienda'!E70</f>
        <v>8100.0000000000009</v>
      </c>
      <c r="F26" s="84">
        <f>+'Balance Financiero Minhacienda'!F70</f>
        <v>5400.0000000000009</v>
      </c>
      <c r="G26" s="84">
        <f>+'Balance Financiero Minhacienda'!G70</f>
        <v>2700.0000000000005</v>
      </c>
      <c r="H26" s="84">
        <f>+'Balance Financiero Minhacienda'!H70</f>
        <v>0</v>
      </c>
      <c r="I26" s="84">
        <f>+'Balance Financiero Minhacienda'!I70</f>
        <v>0</v>
      </c>
      <c r="J26" s="84">
        <f>+'Balance Financiero Minhacienda'!J70</f>
        <v>0</v>
      </c>
      <c r="K26" s="84">
        <f>+'Balance Financiero Minhacienda'!K70</f>
        <v>0</v>
      </c>
      <c r="L26" s="84">
        <f>+'Balance Financiero Minhacienda'!L70</f>
        <v>0</v>
      </c>
      <c r="M26" s="84">
        <f>+'Balance Financiero Minhacienda'!M70</f>
        <v>0</v>
      </c>
    </row>
    <row r="27" spans="1:13" ht="12.75" customHeight="1">
      <c r="A27" s="46" t="s">
        <v>367</v>
      </c>
      <c r="B27" s="47" t="s">
        <v>477</v>
      </c>
      <c r="C27" s="83">
        <f>+'Balance Financiero Minhacienda'!C60+'Balance Financiero Minhacienda'!C63</f>
        <v>0</v>
      </c>
      <c r="D27" s="83">
        <f>+'Balance Financiero Minhacienda'!D60+'Balance Financiero Minhacienda'!D63</f>
        <v>0</v>
      </c>
      <c r="E27" s="83">
        <f>+'Balance Financiero Minhacienda'!E60+'Balance Financiero Minhacienda'!E63</f>
        <v>0</v>
      </c>
      <c r="F27" s="83">
        <f>+'Balance Financiero Minhacienda'!F60+'Balance Financiero Minhacienda'!F63</f>
        <v>0</v>
      </c>
      <c r="G27" s="83">
        <f>+'Balance Financiero Minhacienda'!G60+'Balance Financiero Minhacienda'!G63</f>
        <v>0</v>
      </c>
      <c r="H27" s="83">
        <f>+'Balance Financiero Minhacienda'!H60+'Balance Financiero Minhacienda'!H63</f>
        <v>0</v>
      </c>
      <c r="I27" s="83">
        <f>+'Balance Financiero Minhacienda'!I60+'Balance Financiero Minhacienda'!I63</f>
        <v>0</v>
      </c>
      <c r="J27" s="83">
        <f>+'Balance Financiero Minhacienda'!J60+'Balance Financiero Minhacienda'!J63</f>
        <v>0</v>
      </c>
      <c r="K27" s="83">
        <f>+'Balance Financiero Minhacienda'!K60+'Balance Financiero Minhacienda'!K63</f>
        <v>0</v>
      </c>
      <c r="L27" s="83">
        <f>+'Balance Financiero Minhacienda'!L60+'Balance Financiero Minhacienda'!L63</f>
        <v>0</v>
      </c>
      <c r="M27" s="83">
        <f>+'Balance Financiero Minhacienda'!M60+'Balance Financiero Minhacienda'!M63</f>
        <v>0</v>
      </c>
    </row>
    <row r="28" spans="1:13" ht="12.75" customHeight="1">
      <c r="A28" s="45" t="s">
        <v>368</v>
      </c>
      <c r="B28" s="6" t="s">
        <v>369</v>
      </c>
      <c r="C28" s="82">
        <f t="shared" ref="C28" si="10">+C5-C21</f>
        <v>523905.20839999989</v>
      </c>
      <c r="D28" s="82">
        <f t="shared" ref="D28:M28" si="11">+D5-D21</f>
        <v>586634.85499999998</v>
      </c>
      <c r="E28" s="82">
        <f t="shared" si="11"/>
        <v>613700</v>
      </c>
      <c r="F28" s="82">
        <f t="shared" si="11"/>
        <v>641271</v>
      </c>
      <c r="G28" s="82">
        <f t="shared" si="11"/>
        <v>669837</v>
      </c>
      <c r="H28" s="82">
        <f t="shared" si="11"/>
        <v>699438</v>
      </c>
      <c r="I28" s="82">
        <f t="shared" si="11"/>
        <v>727415</v>
      </c>
      <c r="J28" s="82">
        <f t="shared" si="11"/>
        <v>756511</v>
      </c>
      <c r="K28" s="82">
        <f t="shared" si="11"/>
        <v>786774</v>
      </c>
      <c r="L28" s="82">
        <f t="shared" si="11"/>
        <v>818246</v>
      </c>
      <c r="M28" s="82">
        <f t="shared" si="11"/>
        <v>850976</v>
      </c>
    </row>
    <row r="29" spans="1:13" ht="12.75" customHeight="1">
      <c r="A29" s="45" t="s">
        <v>370</v>
      </c>
      <c r="B29" s="6" t="s">
        <v>371</v>
      </c>
      <c r="C29" s="82">
        <f t="shared" ref="C29:M29" si="12">+SUM(C30:C33)</f>
        <v>6096173.0380000006</v>
      </c>
      <c r="D29" s="82">
        <f t="shared" si="12"/>
        <v>4710179.4720000001</v>
      </c>
      <c r="E29" s="82">
        <f t="shared" si="12"/>
        <v>4898586</v>
      </c>
      <c r="F29" s="82">
        <f t="shared" si="12"/>
        <v>5094530</v>
      </c>
      <c r="G29" s="82">
        <f t="shared" si="12"/>
        <v>5298311</v>
      </c>
      <c r="H29" s="82">
        <f t="shared" si="12"/>
        <v>5510244</v>
      </c>
      <c r="I29" s="82">
        <f t="shared" si="12"/>
        <v>5730654</v>
      </c>
      <c r="J29" s="82">
        <f t="shared" si="12"/>
        <v>5959881</v>
      </c>
      <c r="K29" s="82">
        <f t="shared" si="12"/>
        <v>6198275</v>
      </c>
      <c r="L29" s="82">
        <f t="shared" si="12"/>
        <v>6446208</v>
      </c>
      <c r="M29" s="82">
        <f t="shared" si="12"/>
        <v>6704057</v>
      </c>
    </row>
    <row r="30" spans="1:13" ht="12.75" customHeight="1">
      <c r="A30" s="46" t="s">
        <v>372</v>
      </c>
      <c r="B30" s="47" t="s">
        <v>373</v>
      </c>
      <c r="C30" s="83">
        <f>+'Balance Financiero Minhacienda'!C76+'Balance Financiero Minhacienda'!C77</f>
        <v>1782172.173</v>
      </c>
      <c r="D30" s="83">
        <f>+'Balance Financiero Minhacienda'!D76+'Balance Financiero Minhacienda'!D77</f>
        <v>820000</v>
      </c>
      <c r="E30" s="83">
        <f>+'Balance Financiero Minhacienda'!E76+'Balance Financiero Minhacienda'!E77</f>
        <v>852800</v>
      </c>
      <c r="F30" s="83">
        <f>+'Balance Financiero Minhacienda'!F76+'Balance Financiero Minhacienda'!F77</f>
        <v>886912</v>
      </c>
      <c r="G30" s="83">
        <f>+'Balance Financiero Minhacienda'!G76+'Balance Financiero Minhacienda'!G77</f>
        <v>922388</v>
      </c>
      <c r="H30" s="83">
        <f>+'Balance Financiero Minhacienda'!H76+'Balance Financiero Minhacienda'!H77</f>
        <v>959284</v>
      </c>
      <c r="I30" s="83">
        <f>+'Balance Financiero Minhacienda'!I76+'Balance Financiero Minhacienda'!I77</f>
        <v>997655</v>
      </c>
      <c r="J30" s="83">
        <f>+'Balance Financiero Minhacienda'!J76+'Balance Financiero Minhacienda'!J77</f>
        <v>1037561</v>
      </c>
      <c r="K30" s="83">
        <f>+'Balance Financiero Minhacienda'!K76+'Balance Financiero Minhacienda'!K77</f>
        <v>1079063</v>
      </c>
      <c r="L30" s="83">
        <f>+'Balance Financiero Minhacienda'!L76+'Balance Financiero Minhacienda'!L77</f>
        <v>1122226</v>
      </c>
      <c r="M30" s="83">
        <f>+'Balance Financiero Minhacienda'!M76+'Balance Financiero Minhacienda'!M77</f>
        <v>1167115</v>
      </c>
    </row>
    <row r="31" spans="1:13" ht="12.75" customHeight="1">
      <c r="A31" s="47" t="s">
        <v>374</v>
      </c>
      <c r="B31" s="47" t="s">
        <v>375</v>
      </c>
      <c r="C31" s="83">
        <f>+'Balance Financiero Minhacienda'!C32</f>
        <v>3368952.3630000004</v>
      </c>
      <c r="D31" s="83">
        <f>+'Balance Financiero Minhacienda'!D32</f>
        <v>3577110.4139999999</v>
      </c>
      <c r="E31" s="83">
        <f>+'Balance Financiero Minhacienda'!E32</f>
        <v>3720194</v>
      </c>
      <c r="F31" s="83">
        <f>+'Balance Financiero Minhacienda'!F32</f>
        <v>3869002</v>
      </c>
      <c r="G31" s="83">
        <f>+'Balance Financiero Minhacienda'!G32</f>
        <v>4023762</v>
      </c>
      <c r="H31" s="83">
        <f>+'Balance Financiero Minhacienda'!H32</f>
        <v>4184712</v>
      </c>
      <c r="I31" s="83">
        <f>+'Balance Financiero Minhacienda'!I32</f>
        <v>4352100</v>
      </c>
      <c r="J31" s="83">
        <f>+'Balance Financiero Minhacienda'!J32</f>
        <v>4526185</v>
      </c>
      <c r="K31" s="83">
        <f>+'Balance Financiero Minhacienda'!K32</f>
        <v>4707232</v>
      </c>
      <c r="L31" s="83">
        <f>+'Balance Financiero Minhacienda'!L32</f>
        <v>4895522</v>
      </c>
      <c r="M31" s="83">
        <f>+'Balance Financiero Minhacienda'!M32</f>
        <v>5091343</v>
      </c>
    </row>
    <row r="32" spans="1:13" ht="12.75" customHeight="1">
      <c r="A32" s="46" t="s">
        <v>376</v>
      </c>
      <c r="B32" s="47" t="s">
        <v>377</v>
      </c>
      <c r="C32" s="83">
        <f>+'Balance Financiero Minhacienda'!C75</f>
        <v>174049.302</v>
      </c>
      <c r="D32" s="83">
        <f>+'Balance Financiero Minhacienda'!D75</f>
        <v>0</v>
      </c>
      <c r="E32" s="83">
        <f>+'Balance Financiero Minhacienda'!E75</f>
        <v>0</v>
      </c>
      <c r="F32" s="83">
        <f>+'Balance Financiero Minhacienda'!F75</f>
        <v>0</v>
      </c>
      <c r="G32" s="83">
        <f>+'Balance Financiero Minhacienda'!G75</f>
        <v>0</v>
      </c>
      <c r="H32" s="83">
        <f>+'Balance Financiero Minhacienda'!H75</f>
        <v>0</v>
      </c>
      <c r="I32" s="83">
        <f>+'Balance Financiero Minhacienda'!I75</f>
        <v>0</v>
      </c>
      <c r="J32" s="83">
        <f>+'Balance Financiero Minhacienda'!J75</f>
        <v>0</v>
      </c>
      <c r="K32" s="83">
        <f>+'Balance Financiero Minhacienda'!K75</f>
        <v>0</v>
      </c>
      <c r="L32" s="83">
        <f>+'Balance Financiero Minhacienda'!L75</f>
        <v>0</v>
      </c>
      <c r="M32" s="83">
        <f>+'Balance Financiero Minhacienda'!M75</f>
        <v>0</v>
      </c>
    </row>
    <row r="33" spans="1:13" ht="12.75" customHeight="1">
      <c r="A33" s="46" t="s">
        <v>378</v>
      </c>
      <c r="B33" s="47" t="s">
        <v>379</v>
      </c>
      <c r="C33" s="83">
        <f>+'Balance Financiero Minhacienda'!C41+'Balance Financiero Minhacienda'!C42+'Balance Financiero Minhacienda'!C78+'Balance Financiero Minhacienda'!C79+'Balance Financiero Minhacienda'!C83+'Balance Financiero Minhacienda'!C84+'Balance Financiero Minhacienda'!C85</f>
        <v>770999.20000000007</v>
      </c>
      <c r="D33" s="83">
        <f>+'Balance Financiero Minhacienda'!D41+'Balance Financiero Minhacienda'!D42+'Balance Financiero Minhacienda'!D78+'Balance Financiero Minhacienda'!D79+'Balance Financiero Minhacienda'!D83+'Balance Financiero Minhacienda'!D84+'Balance Financiero Minhacienda'!D85</f>
        <v>313069.05799999996</v>
      </c>
      <c r="E33" s="83">
        <f>+'Balance Financiero Minhacienda'!E41+'Balance Financiero Minhacienda'!E42+'Balance Financiero Minhacienda'!E78+'Balance Financiero Minhacienda'!E79+'Balance Financiero Minhacienda'!E83+'Balance Financiero Minhacienda'!E84+'Balance Financiero Minhacienda'!E85</f>
        <v>325592</v>
      </c>
      <c r="F33" s="83">
        <f>+'Balance Financiero Minhacienda'!F41+'Balance Financiero Minhacienda'!F42+'Balance Financiero Minhacienda'!F78+'Balance Financiero Minhacienda'!F79+'Balance Financiero Minhacienda'!F83+'Balance Financiero Minhacienda'!F84+'Balance Financiero Minhacienda'!F85</f>
        <v>338616</v>
      </c>
      <c r="G33" s="83">
        <f>+'Balance Financiero Minhacienda'!G41+'Balance Financiero Minhacienda'!G42+'Balance Financiero Minhacienda'!G78+'Balance Financiero Minhacienda'!G79+'Balance Financiero Minhacienda'!G83+'Balance Financiero Minhacienda'!G84+'Balance Financiero Minhacienda'!G85</f>
        <v>352161</v>
      </c>
      <c r="H33" s="83">
        <f>+'Balance Financiero Minhacienda'!H41+'Balance Financiero Minhacienda'!H42+'Balance Financiero Minhacienda'!H78+'Balance Financiero Minhacienda'!H79+'Balance Financiero Minhacienda'!H83+'Balance Financiero Minhacienda'!H84+'Balance Financiero Minhacienda'!H85</f>
        <v>366248</v>
      </c>
      <c r="I33" s="83">
        <f>+'Balance Financiero Minhacienda'!I41+'Balance Financiero Minhacienda'!I42+'Balance Financiero Minhacienda'!I78+'Balance Financiero Minhacienda'!I79+'Balance Financiero Minhacienda'!I83+'Balance Financiero Minhacienda'!I84+'Balance Financiero Minhacienda'!I85</f>
        <v>380899</v>
      </c>
      <c r="J33" s="83">
        <f>+'Balance Financiero Minhacienda'!J41+'Balance Financiero Minhacienda'!J42+'Balance Financiero Minhacienda'!J78+'Balance Financiero Minhacienda'!J79+'Balance Financiero Minhacienda'!J83+'Balance Financiero Minhacienda'!J84+'Balance Financiero Minhacienda'!J85</f>
        <v>396135</v>
      </c>
      <c r="K33" s="83">
        <f>+'Balance Financiero Minhacienda'!K41+'Balance Financiero Minhacienda'!K42+'Balance Financiero Minhacienda'!K78+'Balance Financiero Minhacienda'!K79+'Balance Financiero Minhacienda'!K83+'Balance Financiero Minhacienda'!K84+'Balance Financiero Minhacienda'!K85</f>
        <v>411980</v>
      </c>
      <c r="L33" s="83">
        <f>+'Balance Financiero Minhacienda'!L41+'Balance Financiero Minhacienda'!L42+'Balance Financiero Minhacienda'!L78+'Balance Financiero Minhacienda'!L79+'Balance Financiero Minhacienda'!L83+'Balance Financiero Minhacienda'!L84+'Balance Financiero Minhacienda'!L85</f>
        <v>428460</v>
      </c>
      <c r="M33" s="83">
        <f>+'Balance Financiero Minhacienda'!M41+'Balance Financiero Minhacienda'!M42+'Balance Financiero Minhacienda'!M78+'Balance Financiero Minhacienda'!M79+'Balance Financiero Minhacienda'!M83+'Balance Financiero Minhacienda'!M84+'Balance Financiero Minhacienda'!M85</f>
        <v>445599</v>
      </c>
    </row>
    <row r="34" spans="1:13" ht="12.75" customHeight="1">
      <c r="A34" s="45" t="s">
        <v>380</v>
      </c>
      <c r="B34" s="6" t="s">
        <v>381</v>
      </c>
      <c r="C34" s="82">
        <f t="shared" ref="C34" si="13">+C35+C36</f>
        <v>8488246.1910000015</v>
      </c>
      <c r="D34" s="82">
        <f t="shared" ref="D34:M34" si="14">+D35+D36</f>
        <v>4736787.6189999999</v>
      </c>
      <c r="E34" s="82">
        <f t="shared" si="14"/>
        <v>4926259</v>
      </c>
      <c r="F34" s="82">
        <f t="shared" si="14"/>
        <v>5123310</v>
      </c>
      <c r="G34" s="82">
        <f t="shared" si="14"/>
        <v>5328242</v>
      </c>
      <c r="H34" s="82">
        <f t="shared" si="14"/>
        <v>5541373</v>
      </c>
      <c r="I34" s="82">
        <f t="shared" si="14"/>
        <v>5763029</v>
      </c>
      <c r="J34" s="82">
        <f t="shared" si="14"/>
        <v>5993549</v>
      </c>
      <c r="K34" s="82">
        <f t="shared" si="14"/>
        <v>6233292</v>
      </c>
      <c r="L34" s="82">
        <f t="shared" si="14"/>
        <v>6482624</v>
      </c>
      <c r="M34" s="82">
        <f t="shared" si="14"/>
        <v>6741929</v>
      </c>
    </row>
    <row r="35" spans="1:13" ht="12.75" customHeight="1">
      <c r="A35" s="48" t="s">
        <v>382</v>
      </c>
      <c r="B35" s="47" t="s">
        <v>383</v>
      </c>
      <c r="C35" s="83">
        <f>+'Balance Financiero Minhacienda'!C87+'Balance Financiero Minhacienda'!C95</f>
        <v>5181217.881000001</v>
      </c>
      <c r="D35" s="83">
        <f>+'Balance Financiero Minhacienda'!D87+'Balance Financiero Minhacienda'!D95</f>
        <v>956237.26099999994</v>
      </c>
      <c r="E35" s="83">
        <f>+'Balance Financiero Minhacienda'!E87+'Balance Financiero Minhacienda'!E95</f>
        <v>994487</v>
      </c>
      <c r="F35" s="83">
        <f>+'Balance Financiero Minhacienda'!F87+'Balance Financiero Minhacienda'!F95</f>
        <v>1034267</v>
      </c>
      <c r="G35" s="83">
        <f>+'Balance Financiero Minhacienda'!G87+'Balance Financiero Minhacienda'!G95</f>
        <v>1075637</v>
      </c>
      <c r="H35" s="83">
        <f>+'Balance Financiero Minhacienda'!H87+'Balance Financiero Minhacienda'!H95</f>
        <v>1118664</v>
      </c>
      <c r="I35" s="83">
        <f>+'Balance Financiero Minhacienda'!I87+'Balance Financiero Minhacienda'!I95</f>
        <v>1163411</v>
      </c>
      <c r="J35" s="83">
        <f>+'Balance Financiero Minhacienda'!J87+'Balance Financiero Minhacienda'!J95</f>
        <v>1209947</v>
      </c>
      <c r="K35" s="83">
        <f>+'Balance Financiero Minhacienda'!K87+'Balance Financiero Minhacienda'!K95</f>
        <v>1258345</v>
      </c>
      <c r="L35" s="83">
        <f>+'Balance Financiero Minhacienda'!L87+'Balance Financiero Minhacienda'!L95</f>
        <v>1308679</v>
      </c>
      <c r="M35" s="83">
        <f>+'Balance Financiero Minhacienda'!M87+'Balance Financiero Minhacienda'!M95</f>
        <v>1361027</v>
      </c>
    </row>
    <row r="36" spans="1:13" ht="12.75" customHeight="1">
      <c r="A36" s="47" t="s">
        <v>384</v>
      </c>
      <c r="B36" s="47" t="s">
        <v>385</v>
      </c>
      <c r="C36" s="83">
        <f>+'Balance Financiero Minhacienda'!C64</f>
        <v>3307028.31</v>
      </c>
      <c r="D36" s="83">
        <f>+'Balance Financiero Minhacienda'!D64</f>
        <v>3780550.358</v>
      </c>
      <c r="E36" s="83">
        <f>+'Balance Financiero Minhacienda'!E64</f>
        <v>3931772</v>
      </c>
      <c r="F36" s="83">
        <f>+'Balance Financiero Minhacienda'!F64</f>
        <v>4089043</v>
      </c>
      <c r="G36" s="83">
        <f>+'Balance Financiero Minhacienda'!G64</f>
        <v>4252605</v>
      </c>
      <c r="H36" s="83">
        <f>+'Balance Financiero Minhacienda'!H64</f>
        <v>4422709</v>
      </c>
      <c r="I36" s="83">
        <f>+'Balance Financiero Minhacienda'!I64</f>
        <v>4599618</v>
      </c>
      <c r="J36" s="83">
        <f>+'Balance Financiero Minhacienda'!J64</f>
        <v>4783602</v>
      </c>
      <c r="K36" s="83">
        <f>+'Balance Financiero Minhacienda'!K64</f>
        <v>4974947</v>
      </c>
      <c r="L36" s="83">
        <f>+'Balance Financiero Minhacienda'!L64</f>
        <v>5173945</v>
      </c>
      <c r="M36" s="83">
        <f>+'Balance Financiero Minhacienda'!M64</f>
        <v>5380902</v>
      </c>
    </row>
    <row r="37" spans="1:13" ht="12.75" customHeight="1">
      <c r="A37" s="45" t="s">
        <v>386</v>
      </c>
      <c r="B37" s="24" t="s">
        <v>387</v>
      </c>
      <c r="C37" s="81">
        <f t="shared" ref="C37" si="15">+C28+C29-C34</f>
        <v>-1868167.944600001</v>
      </c>
      <c r="D37" s="81">
        <f t="shared" ref="D37:M37" si="16">+D28+D29-D34</f>
        <v>560026.70799999963</v>
      </c>
      <c r="E37" s="81">
        <f t="shared" si="16"/>
        <v>586027</v>
      </c>
      <c r="F37" s="81">
        <f t="shared" si="16"/>
        <v>612491</v>
      </c>
      <c r="G37" s="81">
        <f t="shared" si="16"/>
        <v>639906</v>
      </c>
      <c r="H37" s="81">
        <f t="shared" si="16"/>
        <v>668309</v>
      </c>
      <c r="I37" s="81">
        <f t="shared" si="16"/>
        <v>695040</v>
      </c>
      <c r="J37" s="81">
        <f t="shared" si="16"/>
        <v>722843</v>
      </c>
      <c r="K37" s="81">
        <f t="shared" si="16"/>
        <v>751757</v>
      </c>
      <c r="L37" s="81">
        <f t="shared" si="16"/>
        <v>781830</v>
      </c>
      <c r="M37" s="81">
        <f t="shared" si="16"/>
        <v>813104</v>
      </c>
    </row>
    <row r="38" spans="1:13" ht="12.75" customHeight="1">
      <c r="A38" s="46" t="s">
        <v>388</v>
      </c>
      <c r="B38" s="24" t="s">
        <v>389</v>
      </c>
      <c r="C38" s="81">
        <f t="shared" ref="C38" si="17">+C39+C42</f>
        <v>1868167.944600001</v>
      </c>
      <c r="D38" s="81">
        <f t="shared" ref="D38:M38" si="18">+D39+D42</f>
        <v>-560026.70799999963</v>
      </c>
      <c r="E38" s="81">
        <f t="shared" si="18"/>
        <v>-586027</v>
      </c>
      <c r="F38" s="81">
        <f t="shared" si="18"/>
        <v>-612491</v>
      </c>
      <c r="G38" s="81">
        <f t="shared" si="18"/>
        <v>-639906</v>
      </c>
      <c r="H38" s="81">
        <f t="shared" si="18"/>
        <v>-668309</v>
      </c>
      <c r="I38" s="81">
        <f t="shared" si="18"/>
        <v>-695040</v>
      </c>
      <c r="J38" s="81">
        <f t="shared" si="18"/>
        <v>-722843</v>
      </c>
      <c r="K38" s="81">
        <f t="shared" si="18"/>
        <v>-751757</v>
      </c>
      <c r="L38" s="81">
        <f t="shared" si="18"/>
        <v>-781830</v>
      </c>
      <c r="M38" s="81">
        <f t="shared" si="18"/>
        <v>-813104</v>
      </c>
    </row>
    <row r="39" spans="1:13" ht="12.75" customHeight="1">
      <c r="A39" s="46" t="s">
        <v>390</v>
      </c>
      <c r="B39" s="6" t="s">
        <v>391</v>
      </c>
      <c r="C39" s="82">
        <f t="shared" ref="C39" si="19">+C40-C41</f>
        <v>11896</v>
      </c>
      <c r="D39" s="82">
        <f t="shared" ref="D39:M39" si="20">+D40-D41</f>
        <v>-175954</v>
      </c>
      <c r="E39" s="82">
        <f t="shared" si="20"/>
        <v>-175000</v>
      </c>
      <c r="F39" s="82">
        <f t="shared" si="20"/>
        <v>-150000</v>
      </c>
      <c r="G39" s="82">
        <f t="shared" si="20"/>
        <v>-150000</v>
      </c>
      <c r="H39" s="82">
        <f t="shared" si="20"/>
        <v>-150000</v>
      </c>
      <c r="I39" s="82">
        <f t="shared" si="20"/>
        <v>0</v>
      </c>
      <c r="J39" s="82">
        <f t="shared" si="20"/>
        <v>0</v>
      </c>
      <c r="K39" s="82">
        <f t="shared" si="20"/>
        <v>0</v>
      </c>
      <c r="L39" s="82">
        <f t="shared" si="20"/>
        <v>0</v>
      </c>
      <c r="M39" s="82">
        <f t="shared" si="20"/>
        <v>0</v>
      </c>
    </row>
    <row r="40" spans="1:13" ht="12.75" customHeight="1">
      <c r="A40" s="46" t="s">
        <v>392</v>
      </c>
      <c r="B40" s="46" t="s">
        <v>393</v>
      </c>
      <c r="C40" s="83">
        <f>+'Balance Financiero Minhacienda'!C101+'Balance Financiero Minhacienda'!C104</f>
        <v>267205</v>
      </c>
      <c r="D40" s="83">
        <f>+'Balance Financiero Minhacienda'!D101+'Balance Financiero Minhacienda'!D104</f>
        <v>0</v>
      </c>
      <c r="E40" s="83">
        <f>+'Balance Financiero Minhacienda'!E101+'Balance Financiero Minhacienda'!E104</f>
        <v>0</v>
      </c>
      <c r="F40" s="83">
        <f>+'Balance Financiero Minhacienda'!F101+'Balance Financiero Minhacienda'!F104</f>
        <v>0</v>
      </c>
      <c r="G40" s="83">
        <f>+'Balance Financiero Minhacienda'!G101+'Balance Financiero Minhacienda'!G104</f>
        <v>0</v>
      </c>
      <c r="H40" s="83">
        <f>+'Balance Financiero Minhacienda'!H101+'Balance Financiero Minhacienda'!H104</f>
        <v>0</v>
      </c>
      <c r="I40" s="83">
        <f>+'Balance Financiero Minhacienda'!I101+'Balance Financiero Minhacienda'!I104</f>
        <v>0</v>
      </c>
      <c r="J40" s="83">
        <f>+'Balance Financiero Minhacienda'!J101+'Balance Financiero Minhacienda'!J104</f>
        <v>0</v>
      </c>
      <c r="K40" s="83">
        <f>+'Balance Financiero Minhacienda'!K101+'Balance Financiero Minhacienda'!K104</f>
        <v>0</v>
      </c>
      <c r="L40" s="83">
        <f>+'Balance Financiero Minhacienda'!L101+'Balance Financiero Minhacienda'!L104</f>
        <v>0</v>
      </c>
      <c r="M40" s="83">
        <f>+'Balance Financiero Minhacienda'!M101+'Balance Financiero Minhacienda'!M104</f>
        <v>0</v>
      </c>
    </row>
    <row r="41" spans="1:13" ht="12.75" customHeight="1">
      <c r="A41" s="47" t="s">
        <v>394</v>
      </c>
      <c r="B41" s="46" t="s">
        <v>395</v>
      </c>
      <c r="C41" s="83">
        <f>+'Balance Financiero Minhacienda'!C102+'Balance Financiero Minhacienda'!C105</f>
        <v>255309</v>
      </c>
      <c r="D41" s="83">
        <f>+'Balance Financiero Minhacienda'!D102+'Balance Financiero Minhacienda'!D105</f>
        <v>175954</v>
      </c>
      <c r="E41" s="83">
        <f>+'Balance Financiero Minhacienda'!E102+'Balance Financiero Minhacienda'!E105</f>
        <v>175000</v>
      </c>
      <c r="F41" s="83">
        <f>+'Balance Financiero Minhacienda'!F102+'Balance Financiero Minhacienda'!F105</f>
        <v>150000</v>
      </c>
      <c r="G41" s="83">
        <f>+'Balance Financiero Minhacienda'!G102+'Balance Financiero Minhacienda'!G105</f>
        <v>150000</v>
      </c>
      <c r="H41" s="83">
        <f>+'Balance Financiero Minhacienda'!H102+'Balance Financiero Minhacienda'!H105</f>
        <v>150000</v>
      </c>
      <c r="I41" s="83">
        <f>+'Balance Financiero Minhacienda'!I102+'Balance Financiero Minhacienda'!I105</f>
        <v>0</v>
      </c>
      <c r="J41" s="83">
        <f>+'Balance Financiero Minhacienda'!J102+'Balance Financiero Minhacienda'!J105</f>
        <v>0</v>
      </c>
      <c r="K41" s="83">
        <f>+'Balance Financiero Minhacienda'!K102+'Balance Financiero Minhacienda'!K105</f>
        <v>0</v>
      </c>
      <c r="L41" s="83">
        <f>+'Balance Financiero Minhacienda'!L102+'Balance Financiero Minhacienda'!L105</f>
        <v>0</v>
      </c>
      <c r="M41" s="83">
        <f>+'Balance Financiero Minhacienda'!M102+'Balance Financiero Minhacienda'!M105</f>
        <v>0</v>
      </c>
    </row>
    <row r="42" spans="1:13" ht="12.75" customHeight="1">
      <c r="A42" s="47" t="s">
        <v>396</v>
      </c>
      <c r="B42" s="6" t="s">
        <v>397</v>
      </c>
      <c r="C42" s="82">
        <f t="shared" ref="C42" si="21">-C37-C39</f>
        <v>1856271.944600001</v>
      </c>
      <c r="D42" s="82">
        <f t="shared" ref="D42:M42" si="22">-D37-D39</f>
        <v>-384072.70799999963</v>
      </c>
      <c r="E42" s="82">
        <f t="shared" si="22"/>
        <v>-411027</v>
      </c>
      <c r="F42" s="82">
        <f t="shared" si="22"/>
        <v>-462491</v>
      </c>
      <c r="G42" s="82">
        <f t="shared" si="22"/>
        <v>-489906</v>
      </c>
      <c r="H42" s="82">
        <f t="shared" si="22"/>
        <v>-518309</v>
      </c>
      <c r="I42" s="82">
        <f t="shared" si="22"/>
        <v>-695040</v>
      </c>
      <c r="J42" s="82">
        <f t="shared" si="22"/>
        <v>-722843</v>
      </c>
      <c r="K42" s="82">
        <f t="shared" si="22"/>
        <v>-751757</v>
      </c>
      <c r="L42" s="82">
        <f t="shared" si="22"/>
        <v>-781830</v>
      </c>
      <c r="M42" s="82">
        <f t="shared" si="22"/>
        <v>-813104</v>
      </c>
    </row>
    <row r="43" spans="1:13" ht="12.75" customHeight="1">
      <c r="A43" s="49"/>
      <c r="B43" s="6" t="s">
        <v>331</v>
      </c>
      <c r="C43" s="82"/>
      <c r="D43" s="82"/>
      <c r="E43" s="82"/>
      <c r="F43" s="82"/>
      <c r="G43" s="82"/>
      <c r="H43" s="82"/>
      <c r="I43" s="82"/>
      <c r="J43" s="82"/>
      <c r="K43" s="82"/>
      <c r="L43" s="82"/>
      <c r="M43" s="82"/>
    </row>
    <row r="44" spans="1:13" s="53" customFormat="1" ht="6" customHeight="1">
      <c r="A44" s="50"/>
      <c r="B44" s="51"/>
      <c r="C44" s="85"/>
      <c r="D44" s="85"/>
      <c r="E44" s="85"/>
      <c r="F44" s="85"/>
      <c r="G44" s="85"/>
      <c r="H44" s="85"/>
      <c r="I44" s="85"/>
      <c r="J44" s="85"/>
      <c r="K44" s="85"/>
      <c r="L44" s="85"/>
      <c r="M44" s="85"/>
    </row>
    <row r="45" spans="1:13" s="53" customFormat="1" ht="12.75" customHeight="1">
      <c r="A45" s="50"/>
      <c r="B45" s="24" t="s">
        <v>398</v>
      </c>
      <c r="C45" s="91">
        <f>+C3</f>
        <v>2011</v>
      </c>
      <c r="D45" s="91">
        <f t="shared" ref="D45:M45" si="23">+D3</f>
        <v>2012</v>
      </c>
      <c r="E45" s="91">
        <f t="shared" si="23"/>
        <v>2013</v>
      </c>
      <c r="F45" s="91">
        <f t="shared" si="23"/>
        <v>2014</v>
      </c>
      <c r="G45" s="91">
        <f t="shared" si="23"/>
        <v>2015</v>
      </c>
      <c r="H45" s="91">
        <f t="shared" si="23"/>
        <v>2016</v>
      </c>
      <c r="I45" s="91">
        <f t="shared" si="23"/>
        <v>2017</v>
      </c>
      <c r="J45" s="91">
        <f t="shared" si="23"/>
        <v>2018</v>
      </c>
      <c r="K45" s="91">
        <f t="shared" si="23"/>
        <v>2019</v>
      </c>
      <c r="L45" s="91">
        <f t="shared" si="23"/>
        <v>2020</v>
      </c>
      <c r="M45" s="91">
        <f t="shared" si="23"/>
        <v>2021</v>
      </c>
    </row>
    <row r="46" spans="1:13" s="53" customFormat="1" ht="12.75" customHeight="1">
      <c r="A46" s="50"/>
      <c r="B46" s="54" t="s">
        <v>399</v>
      </c>
      <c r="C46" s="86">
        <f>+C40</f>
        <v>267205</v>
      </c>
      <c r="D46" s="86">
        <f t="shared" ref="D46:M46" si="24">+D40</f>
        <v>0</v>
      </c>
      <c r="E46" s="86">
        <f t="shared" si="24"/>
        <v>0</v>
      </c>
      <c r="F46" s="86">
        <f t="shared" si="24"/>
        <v>0</v>
      </c>
      <c r="G46" s="86">
        <f t="shared" si="24"/>
        <v>0</v>
      </c>
      <c r="H46" s="86">
        <f t="shared" si="24"/>
        <v>0</v>
      </c>
      <c r="I46" s="86">
        <f t="shared" si="24"/>
        <v>0</v>
      </c>
      <c r="J46" s="86">
        <f t="shared" si="24"/>
        <v>0</v>
      </c>
      <c r="K46" s="86">
        <f t="shared" si="24"/>
        <v>0</v>
      </c>
      <c r="L46" s="86">
        <f t="shared" si="24"/>
        <v>0</v>
      </c>
      <c r="M46" s="86">
        <f t="shared" si="24"/>
        <v>0</v>
      </c>
    </row>
    <row r="47" spans="1:13" s="53" customFormat="1" ht="12.75" customHeight="1">
      <c r="A47" s="50"/>
      <c r="B47" s="90" t="s">
        <v>484</v>
      </c>
      <c r="C47" s="87">
        <f>+'Balance Financiero Minhacienda'!C80+'Balance Financiero Minhacienda'!C81+'Balance Financiero Minhacienda'!C82</f>
        <v>1860235.83</v>
      </c>
      <c r="D47" s="87">
        <f>+'Balance Financiero Minhacienda'!D80+'Balance Financiero Minhacienda'!D81+'Balance Financiero Minhacienda'!D82</f>
        <v>31004</v>
      </c>
      <c r="E47" s="87">
        <f>+'Balance Financiero Minhacienda'!E80+'Balance Financiero Minhacienda'!E81+'Balance Financiero Minhacienda'!E82</f>
        <v>32244</v>
      </c>
      <c r="F47" s="87">
        <f>+'Balance Financiero Minhacienda'!F80+'Balance Financiero Minhacienda'!F81+'Balance Financiero Minhacienda'!F82</f>
        <v>33534</v>
      </c>
      <c r="G47" s="87">
        <f>+'Balance Financiero Minhacienda'!G80+'Balance Financiero Minhacienda'!G81+'Balance Financiero Minhacienda'!G82</f>
        <v>34875</v>
      </c>
      <c r="H47" s="87">
        <f>+'Balance Financiero Minhacienda'!H80+'Balance Financiero Minhacienda'!H81+'Balance Financiero Minhacienda'!H82</f>
        <v>36270</v>
      </c>
      <c r="I47" s="87">
        <f>+'Balance Financiero Minhacienda'!I80+'Balance Financiero Minhacienda'!I81+'Balance Financiero Minhacienda'!I82</f>
        <v>37721</v>
      </c>
      <c r="J47" s="87">
        <f>+'Balance Financiero Minhacienda'!J80+'Balance Financiero Minhacienda'!J81+'Balance Financiero Minhacienda'!J82</f>
        <v>39230</v>
      </c>
      <c r="K47" s="87">
        <f>+'Balance Financiero Minhacienda'!K80+'Balance Financiero Minhacienda'!K81+'Balance Financiero Minhacienda'!K82</f>
        <v>40799</v>
      </c>
      <c r="L47" s="87">
        <f>+'Balance Financiero Minhacienda'!L80+'Balance Financiero Minhacienda'!L81+'Balance Financiero Minhacienda'!L82</f>
        <v>42431</v>
      </c>
      <c r="M47" s="87">
        <f>+'Balance Financiero Minhacienda'!M80+'Balance Financiero Minhacienda'!M81+'Balance Financiero Minhacienda'!M82</f>
        <v>44128</v>
      </c>
    </row>
    <row r="48" spans="1:13" s="53" customFormat="1" ht="4.5" customHeight="1">
      <c r="A48" s="50"/>
      <c r="B48" s="55"/>
      <c r="C48" s="88"/>
      <c r="D48" s="88"/>
      <c r="E48" s="88"/>
      <c r="F48" s="88"/>
      <c r="G48" s="88"/>
      <c r="H48" s="88"/>
      <c r="I48" s="88"/>
      <c r="J48" s="88"/>
      <c r="K48" s="88"/>
      <c r="L48" s="88"/>
      <c r="M48" s="88"/>
    </row>
    <row r="49" spans="1:13" s="53" customFormat="1" ht="12.75" customHeight="1">
      <c r="A49" s="50"/>
      <c r="B49" s="24" t="s">
        <v>338</v>
      </c>
      <c r="C49" s="91">
        <f>+C3</f>
        <v>2011</v>
      </c>
      <c r="D49" s="91">
        <f t="shared" ref="D49:M49" si="25">+D3</f>
        <v>2012</v>
      </c>
      <c r="E49" s="91">
        <f t="shared" si="25"/>
        <v>2013</v>
      </c>
      <c r="F49" s="91">
        <f t="shared" si="25"/>
        <v>2014</v>
      </c>
      <c r="G49" s="91">
        <f t="shared" si="25"/>
        <v>2015</v>
      </c>
      <c r="H49" s="91">
        <f t="shared" si="25"/>
        <v>2016</v>
      </c>
      <c r="I49" s="91">
        <f t="shared" si="25"/>
        <v>2017</v>
      </c>
      <c r="J49" s="91">
        <f t="shared" si="25"/>
        <v>2018</v>
      </c>
      <c r="K49" s="91">
        <f t="shared" si="25"/>
        <v>2019</v>
      </c>
      <c r="L49" s="91">
        <f t="shared" si="25"/>
        <v>2020</v>
      </c>
      <c r="M49" s="91">
        <f t="shared" si="25"/>
        <v>2021</v>
      </c>
    </row>
    <row r="50" spans="1:13" s="53" customFormat="1" ht="12.75" customHeight="1">
      <c r="A50" s="50"/>
      <c r="B50" s="6" t="s">
        <v>26</v>
      </c>
      <c r="C50" s="82">
        <f t="shared" ref="C50" si="26">+C4+C46+C47</f>
        <v>10600645.030000001</v>
      </c>
      <c r="D50" s="82">
        <f t="shared" ref="D50:M50" si="27">+D4+D46+D47</f>
        <v>6477123.3269999996</v>
      </c>
      <c r="E50" s="82">
        <f t="shared" si="27"/>
        <v>6736207</v>
      </c>
      <c r="F50" s="82">
        <f t="shared" si="27"/>
        <v>7005656</v>
      </c>
      <c r="G50" s="82">
        <f t="shared" si="27"/>
        <v>7285881</v>
      </c>
      <c r="H50" s="82">
        <f t="shared" si="27"/>
        <v>7577316</v>
      </c>
      <c r="I50" s="82">
        <f t="shared" si="27"/>
        <v>7880409</v>
      </c>
      <c r="J50" s="82">
        <f t="shared" si="27"/>
        <v>8195626</v>
      </c>
      <c r="K50" s="82">
        <f t="shared" si="27"/>
        <v>8523451</v>
      </c>
      <c r="L50" s="82">
        <f t="shared" si="27"/>
        <v>8864392</v>
      </c>
      <c r="M50" s="82">
        <f t="shared" si="27"/>
        <v>9218969</v>
      </c>
    </row>
    <row r="51" spans="1:13" s="53" customFormat="1" ht="12.75" customHeight="1">
      <c r="A51" s="50"/>
      <c r="B51" s="6" t="s">
        <v>309</v>
      </c>
      <c r="C51" s="82">
        <f>+C20+C41</f>
        <v>10596681.144600002</v>
      </c>
      <c r="D51" s="82">
        <f t="shared" ref="D51:M51" si="28">+D20+D41</f>
        <v>6062046.6189999999</v>
      </c>
      <c r="E51" s="82">
        <f t="shared" si="28"/>
        <v>6292936</v>
      </c>
      <c r="F51" s="82">
        <f t="shared" si="28"/>
        <v>6509631</v>
      </c>
      <c r="G51" s="82">
        <f t="shared" si="28"/>
        <v>6761100</v>
      </c>
      <c r="H51" s="82">
        <f t="shared" si="28"/>
        <v>7022737</v>
      </c>
      <c r="I51" s="82">
        <f t="shared" si="28"/>
        <v>7147648</v>
      </c>
      <c r="J51" s="82">
        <f t="shared" si="28"/>
        <v>7433553</v>
      </c>
      <c r="K51" s="82">
        <f t="shared" si="28"/>
        <v>7730895</v>
      </c>
      <c r="L51" s="82">
        <f t="shared" si="28"/>
        <v>8040131</v>
      </c>
      <c r="M51" s="82">
        <f t="shared" si="28"/>
        <v>8361737</v>
      </c>
    </row>
    <row r="52" spans="1:13" s="53" customFormat="1" ht="12.75" customHeight="1">
      <c r="A52" s="50"/>
      <c r="B52" s="6" t="s">
        <v>339</v>
      </c>
      <c r="C52" s="82">
        <f>+C50-C51</f>
        <v>3963.885399999097</v>
      </c>
      <c r="D52" s="82">
        <f t="shared" ref="D52:M52" si="29">+D50-D51</f>
        <v>415076.70799999963</v>
      </c>
      <c r="E52" s="82">
        <f t="shared" si="29"/>
        <v>443271</v>
      </c>
      <c r="F52" s="82">
        <f t="shared" si="29"/>
        <v>496025</v>
      </c>
      <c r="G52" s="82">
        <f t="shared" si="29"/>
        <v>524781</v>
      </c>
      <c r="H52" s="82">
        <f t="shared" si="29"/>
        <v>554579</v>
      </c>
      <c r="I52" s="82">
        <f t="shared" si="29"/>
        <v>732761</v>
      </c>
      <c r="J52" s="82">
        <f t="shared" si="29"/>
        <v>762073</v>
      </c>
      <c r="K52" s="82">
        <f t="shared" si="29"/>
        <v>792556</v>
      </c>
      <c r="L52" s="82">
        <f t="shared" si="29"/>
        <v>824261</v>
      </c>
      <c r="M52" s="82">
        <f t="shared" si="29"/>
        <v>857232</v>
      </c>
    </row>
    <row r="53" spans="1:13" s="53" customFormat="1">
      <c r="A53" s="50"/>
      <c r="B53" s="51"/>
      <c r="C53" s="85"/>
      <c r="D53" s="52"/>
      <c r="E53" s="52"/>
      <c r="F53" s="52"/>
      <c r="G53" s="52"/>
      <c r="H53" s="52"/>
      <c r="I53" s="52"/>
      <c r="J53" s="52"/>
      <c r="K53" s="52"/>
      <c r="L53" s="52"/>
      <c r="M53" s="52"/>
    </row>
    <row r="54" spans="1:13" s="53" customFormat="1">
      <c r="A54" s="50"/>
      <c r="B54" s="51"/>
      <c r="C54" s="85"/>
      <c r="D54" s="52"/>
      <c r="E54" s="52"/>
      <c r="F54" s="52"/>
      <c r="G54" s="52"/>
      <c r="H54" s="52"/>
      <c r="I54" s="52"/>
      <c r="J54" s="52"/>
      <c r="K54" s="52"/>
      <c r="L54" s="52"/>
      <c r="M54" s="52"/>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40"/>
  <sheetViews>
    <sheetView workbookViewId="0">
      <pane xSplit="2" ySplit="2" topLeftCell="C18" activePane="bottomRight" state="frozen"/>
      <selection pane="topRight" activeCell="C1" sqref="C1"/>
      <selection pane="bottomLeft" activeCell="A3" sqref="A3"/>
      <selection pane="bottomRight" activeCell="F32" sqref="F32"/>
    </sheetView>
  </sheetViews>
  <sheetFormatPr baseColWidth="10" defaultRowHeight="16.5"/>
  <cols>
    <col min="1" max="1" width="6.42578125" style="77" customWidth="1"/>
    <col min="2" max="2" width="56.28515625" style="1" customWidth="1"/>
    <col min="3" max="13" width="9.42578125" style="59" customWidth="1"/>
    <col min="14" max="16384" width="11.42578125" style="59"/>
  </cols>
  <sheetData>
    <row r="1" spans="1:13">
      <c r="A1" s="97" t="s">
        <v>479</v>
      </c>
      <c r="B1" s="58"/>
      <c r="D1" s="60"/>
      <c r="E1" s="60"/>
      <c r="F1" s="60"/>
      <c r="G1" s="60"/>
      <c r="H1" s="60"/>
      <c r="I1" s="60"/>
      <c r="J1" s="60"/>
      <c r="K1" s="60"/>
      <c r="L1" s="60"/>
      <c r="M1" s="60"/>
    </row>
    <row r="2" spans="1:13" ht="15" customHeight="1">
      <c r="A2" s="62" t="s">
        <v>292</v>
      </c>
      <c r="B2" s="69" t="s">
        <v>400</v>
      </c>
      <c r="C2" s="63">
        <f>+'Plan Financiero DNP'!C3</f>
        <v>2011</v>
      </c>
      <c r="D2" s="63">
        <f>+'Plan Financiero DNP'!D3</f>
        <v>2012</v>
      </c>
      <c r="E2" s="63">
        <f>+'Plan Financiero DNP'!E3</f>
        <v>2013</v>
      </c>
      <c r="F2" s="63">
        <f>+'Plan Financiero DNP'!F3</f>
        <v>2014</v>
      </c>
      <c r="G2" s="63">
        <f>+'Plan Financiero DNP'!G3</f>
        <v>2015</v>
      </c>
      <c r="H2" s="63">
        <f>+'Plan Financiero DNP'!H3</f>
        <v>2016</v>
      </c>
      <c r="I2" s="63">
        <f>+'Plan Financiero DNP'!I3</f>
        <v>2017</v>
      </c>
      <c r="J2" s="63">
        <f>+'Plan Financiero DNP'!J3</f>
        <v>2018</v>
      </c>
      <c r="K2" s="63">
        <f>+'Plan Financiero DNP'!K3</f>
        <v>2019</v>
      </c>
      <c r="L2" s="63">
        <f>+'Plan Financiero DNP'!L3</f>
        <v>2020</v>
      </c>
      <c r="M2" s="63">
        <f>+'Plan Financiero DNP'!M3</f>
        <v>2021</v>
      </c>
    </row>
    <row r="3" spans="1:13" ht="15" customHeight="1">
      <c r="A3" s="75" t="s">
        <v>401</v>
      </c>
      <c r="B3" s="64" t="s">
        <v>402</v>
      </c>
      <c r="C3" s="197">
        <f>+SUM(C4:C9)-SUM(C10:C12)</f>
        <v>5333702.0580000002</v>
      </c>
      <c r="D3" s="197">
        <f t="shared" ref="D3:L3" si="0">+SUM(D4:D9)-SUM(D10:D12)</f>
        <v>2866679.6869999999</v>
      </c>
      <c r="E3" s="197">
        <f t="shared" si="0"/>
        <v>2981346</v>
      </c>
      <c r="F3" s="197">
        <f t="shared" si="0"/>
        <v>3100601</v>
      </c>
      <c r="G3" s="197">
        <f t="shared" si="0"/>
        <v>3224624</v>
      </c>
      <c r="H3" s="197">
        <f t="shared" si="0"/>
        <v>3353609</v>
      </c>
      <c r="I3" s="197">
        <f t="shared" si="0"/>
        <v>3487754</v>
      </c>
      <c r="J3" s="197">
        <f t="shared" si="0"/>
        <v>3627265</v>
      </c>
      <c r="K3" s="197">
        <f t="shared" si="0"/>
        <v>3772356</v>
      </c>
      <c r="L3" s="197">
        <f t="shared" si="0"/>
        <v>4372142.4000000004</v>
      </c>
      <c r="M3" s="197">
        <f>+SUM(M4:M9)-SUM(M10:M12)</f>
        <v>4547028</v>
      </c>
    </row>
    <row r="4" spans="1:13" s="61" customFormat="1" ht="14.25" customHeight="1">
      <c r="A4" s="65" t="s">
        <v>403</v>
      </c>
      <c r="B4" s="70" t="s">
        <v>404</v>
      </c>
      <c r="C4" s="198">
        <f>+'Balance Financiero Minhacienda'!C6</f>
        <v>1655758.571</v>
      </c>
      <c r="D4" s="198">
        <f>+'Balance Financiero Minhacienda'!D6</f>
        <v>975057</v>
      </c>
      <c r="E4" s="198">
        <f>+'Balance Financiero Minhacienda'!E6</f>
        <v>1014059</v>
      </c>
      <c r="F4" s="198">
        <f>+'Balance Financiero Minhacienda'!F6</f>
        <v>1054621</v>
      </c>
      <c r="G4" s="198">
        <f>+'Balance Financiero Minhacienda'!G6</f>
        <v>1096806</v>
      </c>
      <c r="H4" s="198">
        <f>+'Balance Financiero Minhacienda'!H6</f>
        <v>1140678</v>
      </c>
      <c r="I4" s="198">
        <f>+'Balance Financiero Minhacienda'!I6</f>
        <v>1186305</v>
      </c>
      <c r="J4" s="198">
        <f>+'Balance Financiero Minhacienda'!J6</f>
        <v>1233757</v>
      </c>
      <c r="K4" s="198">
        <f>+'Balance Financiero Minhacienda'!K6</f>
        <v>1283108</v>
      </c>
      <c r="L4" s="198">
        <f>+'Balance Financiero Minhacienda'!L6</f>
        <v>1334433</v>
      </c>
      <c r="M4" s="198">
        <f>+'Balance Financiero Minhacienda'!M6</f>
        <v>1387811</v>
      </c>
    </row>
    <row r="5" spans="1:13" s="61" customFormat="1" ht="14.25" customHeight="1">
      <c r="A5" s="65" t="s">
        <v>405</v>
      </c>
      <c r="B5" s="70" t="s">
        <v>406</v>
      </c>
      <c r="C5" s="198">
        <f>+'Balance Financiero Minhacienda'!C19</f>
        <v>163156.128</v>
      </c>
      <c r="D5" s="198">
        <f>+'Balance Financiero Minhacienda'!D19</f>
        <v>110024</v>
      </c>
      <c r="E5" s="198">
        <f>+'Balance Financiero Minhacienda'!E19</f>
        <v>114425</v>
      </c>
      <c r="F5" s="198">
        <f>+'Balance Financiero Minhacienda'!F19</f>
        <v>119002</v>
      </c>
      <c r="G5" s="198">
        <f>+'Balance Financiero Minhacienda'!G19</f>
        <v>123762</v>
      </c>
      <c r="H5" s="198">
        <f>+'Balance Financiero Minhacienda'!H19</f>
        <v>128712</v>
      </c>
      <c r="I5" s="198">
        <f>+'Balance Financiero Minhacienda'!I19</f>
        <v>133861</v>
      </c>
      <c r="J5" s="198">
        <f>+'Balance Financiero Minhacienda'!J19</f>
        <v>139215</v>
      </c>
      <c r="K5" s="198">
        <f>+'Balance Financiero Minhacienda'!K19</f>
        <v>144784</v>
      </c>
      <c r="L5" s="198">
        <f>+'Balance Financiero Minhacienda'!L19</f>
        <v>150575</v>
      </c>
      <c r="M5" s="198">
        <f>+'Balance Financiero Minhacienda'!M19</f>
        <v>156598</v>
      </c>
    </row>
    <row r="6" spans="1:13" s="61" customFormat="1" ht="14.25" customHeight="1">
      <c r="A6" s="65" t="s">
        <v>407</v>
      </c>
      <c r="B6" s="71" t="s">
        <v>482</v>
      </c>
      <c r="C6" s="198"/>
      <c r="D6" s="198"/>
      <c r="E6" s="198"/>
      <c r="F6" s="198"/>
      <c r="G6" s="198"/>
      <c r="H6" s="198"/>
      <c r="I6" s="198"/>
      <c r="J6" s="198"/>
      <c r="K6" s="198"/>
      <c r="L6" s="198">
        <f>+'Balance Financiero Minhacienda'!L76*0.4</f>
        <v>448890.4</v>
      </c>
      <c r="M6" s="198">
        <f>+'Balance Financiero Minhacienda'!M76*0.4</f>
        <v>466846</v>
      </c>
    </row>
    <row r="7" spans="1:13" s="61" customFormat="1" ht="14.25" customHeight="1">
      <c r="A7" s="65" t="s">
        <v>408</v>
      </c>
      <c r="B7" s="71" t="s">
        <v>483</v>
      </c>
      <c r="C7" s="198">
        <f>+'Balance Financiero Minhacienda'!C23+'Balance Financiero Minhacienda'!C36+'Balance Financiero Minhacienda'!C37</f>
        <v>1638459.523</v>
      </c>
      <c r="D7" s="198">
        <f>+'Balance Financiero Minhacienda'!D23+'Balance Financiero Minhacienda'!D36+'Balance Financiero Minhacienda'!D37</f>
        <v>1734019.6869999999</v>
      </c>
      <c r="E7" s="198">
        <f>+'Balance Financiero Minhacienda'!E23+'Balance Financiero Minhacienda'!E36+'Balance Financiero Minhacienda'!E37</f>
        <v>1803380</v>
      </c>
      <c r="F7" s="198">
        <f>+'Balance Financiero Minhacienda'!F23+'Balance Financiero Minhacienda'!F36+'Balance Financiero Minhacienda'!F37</f>
        <v>1875516</v>
      </c>
      <c r="G7" s="198">
        <f>+'Balance Financiero Minhacienda'!G23+'Balance Financiero Minhacienda'!G36+'Balance Financiero Minhacienda'!G37</f>
        <v>1950536</v>
      </c>
      <c r="H7" s="198">
        <f>+'Balance Financiero Minhacienda'!H23+'Balance Financiero Minhacienda'!H36+'Balance Financiero Minhacienda'!H37</f>
        <v>2028558</v>
      </c>
      <c r="I7" s="198">
        <f>+'Balance Financiero Minhacienda'!I23+'Balance Financiero Minhacienda'!I36+'Balance Financiero Minhacienda'!I37</f>
        <v>2109700</v>
      </c>
      <c r="J7" s="198">
        <f>+'Balance Financiero Minhacienda'!J23+'Balance Financiero Minhacienda'!J36+'Balance Financiero Minhacienda'!J37</f>
        <v>2194089</v>
      </c>
      <c r="K7" s="198">
        <f>+'Balance Financiero Minhacienda'!K23+'Balance Financiero Minhacienda'!K36+'Balance Financiero Minhacienda'!K37</f>
        <v>2281852</v>
      </c>
      <c r="L7" s="198">
        <f>+'Balance Financiero Minhacienda'!L23+'Balance Financiero Minhacienda'!L36+'Balance Financiero Minhacienda'!L37</f>
        <v>2373127</v>
      </c>
      <c r="M7" s="198">
        <f>+'Balance Financiero Minhacienda'!M23+'Balance Financiero Minhacienda'!M36+'Balance Financiero Minhacienda'!M37</f>
        <v>2468052</v>
      </c>
    </row>
    <row r="8" spans="1:13" s="61" customFormat="1" ht="14.25" customHeight="1">
      <c r="A8" s="65" t="s">
        <v>409</v>
      </c>
      <c r="B8" s="71" t="s">
        <v>410</v>
      </c>
      <c r="C8" s="198">
        <f>+'Balance Financiero Minhacienda'!C80</f>
        <v>1860235.83</v>
      </c>
      <c r="D8" s="198">
        <f>+'Balance Financiero Minhacienda'!D80</f>
        <v>31004</v>
      </c>
      <c r="E8" s="198">
        <f>+'Balance Financiero Minhacienda'!E80</f>
        <v>32244</v>
      </c>
      <c r="F8" s="198">
        <f>+'Balance Financiero Minhacienda'!F80</f>
        <v>33534</v>
      </c>
      <c r="G8" s="198">
        <f>+'Balance Financiero Minhacienda'!G80</f>
        <v>34875</v>
      </c>
      <c r="H8" s="198">
        <f>+'Balance Financiero Minhacienda'!H80</f>
        <v>36270</v>
      </c>
      <c r="I8" s="198">
        <f>+'Balance Financiero Minhacienda'!I80</f>
        <v>37721</v>
      </c>
      <c r="J8" s="198">
        <f>+'Balance Financiero Minhacienda'!J80</f>
        <v>39230</v>
      </c>
      <c r="K8" s="198">
        <f>+'Balance Financiero Minhacienda'!K80</f>
        <v>40799</v>
      </c>
      <c r="L8" s="198">
        <f>+'Balance Financiero Minhacienda'!L80</f>
        <v>42431</v>
      </c>
      <c r="M8" s="198">
        <f>+'Balance Financiero Minhacienda'!M80</f>
        <v>44128</v>
      </c>
    </row>
    <row r="9" spans="1:13" s="61" customFormat="1" ht="14.25" customHeight="1">
      <c r="A9" s="65" t="s">
        <v>411</v>
      </c>
      <c r="B9" s="71" t="s">
        <v>412</v>
      </c>
      <c r="C9" s="198">
        <f>+'Balance Financiero Minhacienda'!C78</f>
        <v>16092.005999999999</v>
      </c>
      <c r="D9" s="198">
        <f>+'Balance Financiero Minhacienda'!D78</f>
        <v>16575</v>
      </c>
      <c r="E9" s="198">
        <f>+'Balance Financiero Minhacienda'!E78</f>
        <v>17238</v>
      </c>
      <c r="F9" s="198">
        <f>+'Balance Financiero Minhacienda'!F78</f>
        <v>17928</v>
      </c>
      <c r="G9" s="198">
        <f>+'Balance Financiero Minhacienda'!G78</f>
        <v>18645</v>
      </c>
      <c r="H9" s="198">
        <f>+'Balance Financiero Minhacienda'!H78</f>
        <v>19391</v>
      </c>
      <c r="I9" s="198">
        <f>+'Balance Financiero Minhacienda'!I78</f>
        <v>20167</v>
      </c>
      <c r="J9" s="198">
        <f>+'Balance Financiero Minhacienda'!J78</f>
        <v>20974</v>
      </c>
      <c r="K9" s="198">
        <f>+'Balance Financiero Minhacienda'!K78</f>
        <v>21813</v>
      </c>
      <c r="L9" s="198">
        <f>+'Balance Financiero Minhacienda'!L78</f>
        <v>22686</v>
      </c>
      <c r="M9" s="198">
        <f>+'Balance Financiero Minhacienda'!M78</f>
        <v>23593</v>
      </c>
    </row>
    <row r="10" spans="1:13" s="61" customFormat="1" ht="14.25" customHeight="1">
      <c r="A10" s="65" t="s">
        <v>413</v>
      </c>
      <c r="B10" s="71" t="s">
        <v>414</v>
      </c>
      <c r="C10" s="199">
        <f>+'Balance Financiero Minhacienda'!C81</f>
        <v>0</v>
      </c>
      <c r="D10" s="199">
        <f>+'Balance Financiero Minhacienda'!D81</f>
        <v>0</v>
      </c>
      <c r="E10" s="199">
        <f>+'Balance Financiero Minhacienda'!E81</f>
        <v>0</v>
      </c>
      <c r="F10" s="199">
        <f>+'Balance Financiero Minhacienda'!F81</f>
        <v>0</v>
      </c>
      <c r="G10" s="199">
        <f>+'Balance Financiero Minhacienda'!G81</f>
        <v>0</v>
      </c>
      <c r="H10" s="199">
        <f>+'Balance Financiero Minhacienda'!H81</f>
        <v>0</v>
      </c>
      <c r="I10" s="199">
        <f>+'Balance Financiero Minhacienda'!I81</f>
        <v>0</v>
      </c>
      <c r="J10" s="199">
        <f>+'Balance Financiero Minhacienda'!J81</f>
        <v>0</v>
      </c>
      <c r="K10" s="199">
        <f>+'Balance Financiero Minhacienda'!K81</f>
        <v>0</v>
      </c>
      <c r="L10" s="199">
        <f>+'Balance Financiero Minhacienda'!L81</f>
        <v>0</v>
      </c>
      <c r="M10" s="199">
        <f>+'Balance Financiero Minhacienda'!M81</f>
        <v>0</v>
      </c>
    </row>
    <row r="11" spans="1:13" s="61" customFormat="1" ht="14.25" customHeight="1">
      <c r="A11" s="65" t="s">
        <v>415</v>
      </c>
      <c r="B11" s="71" t="s">
        <v>416</v>
      </c>
      <c r="C11" s="199"/>
      <c r="D11" s="199"/>
      <c r="E11" s="199"/>
      <c r="F11" s="199"/>
      <c r="G11" s="199"/>
      <c r="H11" s="199"/>
      <c r="I11" s="199"/>
      <c r="J11" s="199"/>
      <c r="K11" s="199"/>
      <c r="L11" s="199"/>
      <c r="M11" s="199"/>
    </row>
    <row r="12" spans="1:13" s="61" customFormat="1" ht="14.25" customHeight="1">
      <c r="A12" s="65" t="s">
        <v>417</v>
      </c>
      <c r="B12" s="71" t="s">
        <v>418</v>
      </c>
      <c r="C12" s="199"/>
      <c r="D12" s="199"/>
      <c r="E12" s="199"/>
      <c r="F12" s="199"/>
      <c r="G12" s="199"/>
      <c r="H12" s="199"/>
      <c r="I12" s="199"/>
      <c r="J12" s="199"/>
      <c r="K12" s="199"/>
      <c r="L12" s="199"/>
      <c r="M12" s="199"/>
    </row>
    <row r="13" spans="1:13" ht="14.25" customHeight="1">
      <c r="A13" s="75" t="s">
        <v>419</v>
      </c>
      <c r="B13" s="64" t="s">
        <v>420</v>
      </c>
      <c r="C13" s="197">
        <f>+SUM(C14:C18)-SUM(C19:C20)</f>
        <v>1832568.9536000001</v>
      </c>
      <c r="D13" s="197">
        <f t="shared" ref="D13:M13" si="1">+SUM(D14:D18)-SUM(D19:D20)</f>
        <v>1138055</v>
      </c>
      <c r="E13" s="197">
        <f t="shared" si="1"/>
        <v>1183577</v>
      </c>
      <c r="F13" s="197">
        <f t="shared" si="1"/>
        <v>1230921</v>
      </c>
      <c r="G13" s="197">
        <f t="shared" si="1"/>
        <v>1280158</v>
      </c>
      <c r="H13" s="197">
        <f t="shared" si="1"/>
        <v>1331364</v>
      </c>
      <c r="I13" s="197">
        <f t="shared" si="1"/>
        <v>1384619</v>
      </c>
      <c r="J13" s="197">
        <f t="shared" si="1"/>
        <v>1440004</v>
      </c>
      <c r="K13" s="197">
        <f t="shared" si="1"/>
        <v>1497603</v>
      </c>
      <c r="L13" s="197">
        <f t="shared" si="1"/>
        <v>1557507</v>
      </c>
      <c r="M13" s="197">
        <f t="shared" si="1"/>
        <v>1619808</v>
      </c>
    </row>
    <row r="14" spans="1:13" s="61" customFormat="1" ht="14.25" customHeight="1">
      <c r="A14" s="66" t="s">
        <v>421</v>
      </c>
      <c r="B14" s="71" t="s">
        <v>422</v>
      </c>
      <c r="C14" s="198">
        <f>+'Balance Financiero Minhacienda'!C46</f>
        <v>700470.24600000004</v>
      </c>
      <c r="D14" s="198">
        <f>+'Balance Financiero Minhacienda'!D46</f>
        <v>735494</v>
      </c>
      <c r="E14" s="198">
        <f>+'Balance Financiero Minhacienda'!E46</f>
        <v>764914</v>
      </c>
      <c r="F14" s="198">
        <f>+'Balance Financiero Minhacienda'!F46</f>
        <v>795511</v>
      </c>
      <c r="G14" s="198">
        <f>+'Balance Financiero Minhacienda'!G46</f>
        <v>827331</v>
      </c>
      <c r="H14" s="198">
        <f>+'Balance Financiero Minhacienda'!H46</f>
        <v>860424</v>
      </c>
      <c r="I14" s="198">
        <f>+'Balance Financiero Minhacienda'!I46</f>
        <v>894841</v>
      </c>
      <c r="J14" s="198">
        <f>+'Balance Financiero Minhacienda'!J46</f>
        <v>930635</v>
      </c>
      <c r="K14" s="198">
        <f>+'Balance Financiero Minhacienda'!K46</f>
        <v>967860</v>
      </c>
      <c r="L14" s="198">
        <f>+'Balance Financiero Minhacienda'!L46</f>
        <v>1006574</v>
      </c>
      <c r="M14" s="198">
        <f>+'Balance Financiero Minhacienda'!M46</f>
        <v>1046837</v>
      </c>
    </row>
    <row r="15" spans="1:13" s="61" customFormat="1" ht="14.25" customHeight="1">
      <c r="A15" s="66" t="s">
        <v>423</v>
      </c>
      <c r="B15" s="71" t="s">
        <v>424</v>
      </c>
      <c r="C15" s="198">
        <f>+'Balance Financiero Minhacienda'!C47</f>
        <v>365670.32299999997</v>
      </c>
      <c r="D15" s="198">
        <f>+'Balance Financiero Minhacienda'!D47</f>
        <v>377561</v>
      </c>
      <c r="E15" s="198">
        <f>+'Balance Financiero Minhacienda'!E47</f>
        <v>392663</v>
      </c>
      <c r="F15" s="198">
        <f>+'Balance Financiero Minhacienda'!F47</f>
        <v>408370</v>
      </c>
      <c r="G15" s="198">
        <f>+'Balance Financiero Minhacienda'!G47</f>
        <v>424705</v>
      </c>
      <c r="H15" s="198">
        <f>+'Balance Financiero Minhacienda'!H47</f>
        <v>441693</v>
      </c>
      <c r="I15" s="198">
        <f>+'Balance Financiero Minhacienda'!I47</f>
        <v>459361</v>
      </c>
      <c r="J15" s="198">
        <f>+'Balance Financiero Minhacienda'!J47</f>
        <v>477735</v>
      </c>
      <c r="K15" s="198">
        <f>+'Balance Financiero Minhacienda'!K47</f>
        <v>496844</v>
      </c>
      <c r="L15" s="198">
        <f>+'Balance Financiero Minhacienda'!L47</f>
        <v>516718</v>
      </c>
      <c r="M15" s="198">
        <f>+'Balance Financiero Minhacienda'!M47</f>
        <v>537387</v>
      </c>
    </row>
    <row r="16" spans="1:13" s="61" customFormat="1" ht="14.25" customHeight="1">
      <c r="A16" s="66" t="s">
        <v>425</v>
      </c>
      <c r="B16" s="71" t="s">
        <v>426</v>
      </c>
      <c r="C16" s="198">
        <f>+'Balance Financiero Minhacienda'!C48</f>
        <v>766428.38459999999</v>
      </c>
      <c r="D16" s="198">
        <f>+'Balance Financiero Minhacienda'!D48</f>
        <v>25000</v>
      </c>
      <c r="E16" s="198">
        <f>+'Balance Financiero Minhacienda'!E48</f>
        <v>26000</v>
      </c>
      <c r="F16" s="198">
        <f>+'Balance Financiero Minhacienda'!F48</f>
        <v>27040</v>
      </c>
      <c r="G16" s="198">
        <f>+'Balance Financiero Minhacienda'!G48</f>
        <v>28122</v>
      </c>
      <c r="H16" s="198">
        <f>+'Balance Financiero Minhacienda'!H48</f>
        <v>29247</v>
      </c>
      <c r="I16" s="198">
        <f>+'Balance Financiero Minhacienda'!I48</f>
        <v>30417</v>
      </c>
      <c r="J16" s="198">
        <f>+'Balance Financiero Minhacienda'!J48</f>
        <v>31634</v>
      </c>
      <c r="K16" s="198">
        <f>+'Balance Financiero Minhacienda'!K48</f>
        <v>32899</v>
      </c>
      <c r="L16" s="198">
        <f>+'Balance Financiero Minhacienda'!L48</f>
        <v>34215</v>
      </c>
      <c r="M16" s="198">
        <f>+'Balance Financiero Minhacienda'!M48</f>
        <v>35584</v>
      </c>
    </row>
    <row r="17" spans="1:13" s="61" customFormat="1" ht="14.25" customHeight="1">
      <c r="A17" s="66" t="s">
        <v>427</v>
      </c>
      <c r="B17" s="71" t="s">
        <v>428</v>
      </c>
      <c r="C17" s="199">
        <f>+'Balance Financiero Minhacienda'!C56</f>
        <v>0</v>
      </c>
      <c r="D17" s="199">
        <f>+'Balance Financiero Minhacienda'!D56</f>
        <v>0</v>
      </c>
      <c r="E17" s="199">
        <f>+'Balance Financiero Minhacienda'!E56</f>
        <v>0</v>
      </c>
      <c r="F17" s="199">
        <f>+'Balance Financiero Minhacienda'!F56</f>
        <v>0</v>
      </c>
      <c r="G17" s="199">
        <f>+'Balance Financiero Minhacienda'!G56</f>
        <v>0</v>
      </c>
      <c r="H17" s="199">
        <f>+'Balance Financiero Minhacienda'!H56</f>
        <v>0</v>
      </c>
      <c r="I17" s="199">
        <f>+'Balance Financiero Minhacienda'!I56</f>
        <v>0</v>
      </c>
      <c r="J17" s="199">
        <f>+'Balance Financiero Minhacienda'!J56</f>
        <v>0</v>
      </c>
      <c r="K17" s="199">
        <f>+'Balance Financiero Minhacienda'!K56</f>
        <v>0</v>
      </c>
      <c r="L17" s="199">
        <f>+'Balance Financiero Minhacienda'!L56</f>
        <v>0</v>
      </c>
      <c r="M17" s="199">
        <f>+'Balance Financiero Minhacienda'!M56</f>
        <v>0</v>
      </c>
    </row>
    <row r="18" spans="1:13" s="61" customFormat="1" ht="14.25" customHeight="1">
      <c r="A18" s="66" t="s">
        <v>429</v>
      </c>
      <c r="B18" s="71" t="s">
        <v>430</v>
      </c>
      <c r="C18" s="198"/>
      <c r="D18" s="198"/>
      <c r="E18" s="198"/>
      <c r="F18" s="198"/>
      <c r="G18" s="198"/>
      <c r="H18" s="198"/>
      <c r="I18" s="198"/>
      <c r="J18" s="198"/>
      <c r="K18" s="198"/>
      <c r="L18" s="198"/>
      <c r="M18" s="198"/>
    </row>
    <row r="19" spans="1:13" s="61" customFormat="1" ht="14.25" customHeight="1">
      <c r="A19" s="66" t="s">
        <v>431</v>
      </c>
      <c r="B19" s="71" t="s">
        <v>432</v>
      </c>
      <c r="C19" s="199"/>
      <c r="D19" s="199"/>
      <c r="E19" s="199"/>
      <c r="F19" s="199"/>
      <c r="G19" s="199"/>
      <c r="H19" s="199"/>
      <c r="I19" s="199"/>
      <c r="J19" s="199"/>
      <c r="K19" s="199"/>
      <c r="L19" s="199"/>
      <c r="M19" s="199"/>
    </row>
    <row r="20" spans="1:13" s="61" customFormat="1" ht="14.25" customHeight="1">
      <c r="A20" s="67" t="s">
        <v>433</v>
      </c>
      <c r="B20" s="71" t="s">
        <v>434</v>
      </c>
      <c r="C20" s="199">
        <f>+'Balance Financiero Minhacienda'!C59</f>
        <v>0</v>
      </c>
      <c r="D20" s="199">
        <f>+'Balance Financiero Minhacienda'!D59</f>
        <v>0</v>
      </c>
      <c r="E20" s="199">
        <f>+'Balance Financiero Minhacienda'!E59</f>
        <v>0</v>
      </c>
      <c r="F20" s="199">
        <f>+'Balance Financiero Minhacienda'!F59</f>
        <v>0</v>
      </c>
      <c r="G20" s="199">
        <f>+'Balance Financiero Minhacienda'!G59</f>
        <v>0</v>
      </c>
      <c r="H20" s="199">
        <f>+'Balance Financiero Minhacienda'!H59</f>
        <v>0</v>
      </c>
      <c r="I20" s="199">
        <f>+'Balance Financiero Minhacienda'!I59</f>
        <v>0</v>
      </c>
      <c r="J20" s="199">
        <f>+'Balance Financiero Minhacienda'!J59</f>
        <v>0</v>
      </c>
      <c r="K20" s="199">
        <f>+'Balance Financiero Minhacienda'!K59</f>
        <v>0</v>
      </c>
      <c r="L20" s="199">
        <f>+'Balance Financiero Minhacienda'!L59</f>
        <v>0</v>
      </c>
      <c r="M20" s="199">
        <f>+'Balance Financiero Minhacienda'!M59</f>
        <v>0</v>
      </c>
    </row>
    <row r="21" spans="1:13" ht="14.25" customHeight="1">
      <c r="A21" s="75" t="s">
        <v>435</v>
      </c>
      <c r="B21" s="64" t="s">
        <v>436</v>
      </c>
      <c r="C21" s="197">
        <f t="shared" ref="C21" si="2">+C3-C13</f>
        <v>3501133.1044000001</v>
      </c>
      <c r="D21" s="197">
        <f t="shared" ref="D21:M21" si="3">+D3-D13</f>
        <v>1728624.6869999999</v>
      </c>
      <c r="E21" s="197">
        <f t="shared" si="3"/>
        <v>1797769</v>
      </c>
      <c r="F21" s="197">
        <f t="shared" si="3"/>
        <v>1869680</v>
      </c>
      <c r="G21" s="197">
        <f t="shared" si="3"/>
        <v>1944466</v>
      </c>
      <c r="H21" s="197">
        <f t="shared" si="3"/>
        <v>2022245</v>
      </c>
      <c r="I21" s="197">
        <f t="shared" si="3"/>
        <v>2103135</v>
      </c>
      <c r="J21" s="197">
        <f t="shared" si="3"/>
        <v>2187261</v>
      </c>
      <c r="K21" s="197">
        <f t="shared" si="3"/>
        <v>2274753</v>
      </c>
      <c r="L21" s="197">
        <f t="shared" si="3"/>
        <v>2814635.4000000004</v>
      </c>
      <c r="M21" s="197">
        <f t="shared" si="3"/>
        <v>2927220</v>
      </c>
    </row>
    <row r="22" spans="1:13" ht="14.25" customHeight="1">
      <c r="A22" s="75" t="s">
        <v>437</v>
      </c>
      <c r="B22" s="64" t="s">
        <v>438</v>
      </c>
      <c r="C22" s="80">
        <v>0.03</v>
      </c>
      <c r="D22" s="80">
        <v>0.03</v>
      </c>
      <c r="E22" s="80">
        <v>0.03</v>
      </c>
      <c r="F22" s="80">
        <v>0.03</v>
      </c>
      <c r="G22" s="80">
        <v>0.03</v>
      </c>
      <c r="H22" s="80">
        <v>0.03</v>
      </c>
      <c r="I22" s="80">
        <v>0.03</v>
      </c>
      <c r="J22" s="80">
        <v>0.03</v>
      </c>
      <c r="K22" s="80">
        <v>0.03</v>
      </c>
      <c r="L22" s="80">
        <v>0.03</v>
      </c>
      <c r="M22" s="80">
        <v>0.03</v>
      </c>
    </row>
    <row r="23" spans="1:13" ht="14.25" customHeight="1">
      <c r="A23" s="75" t="s">
        <v>439</v>
      </c>
      <c r="B23" s="64" t="s">
        <v>440</v>
      </c>
      <c r="C23" s="202">
        <f>+'Balance Financiero Minhacienda'!C120</f>
        <v>800954</v>
      </c>
      <c r="D23" s="202">
        <f>+'Balance Financiero Minhacienda'!D120</f>
        <v>625000</v>
      </c>
      <c r="E23" s="202">
        <f>+'Balance Financiero Minhacienda'!E120</f>
        <v>450000</v>
      </c>
      <c r="F23" s="202">
        <f>+'Balance Financiero Minhacienda'!F120</f>
        <v>300000</v>
      </c>
      <c r="G23" s="202">
        <f>+'Balance Financiero Minhacienda'!G120</f>
        <v>150000</v>
      </c>
      <c r="H23" s="202">
        <f>+'Balance Financiero Minhacienda'!H120</f>
        <v>0</v>
      </c>
      <c r="I23" s="202">
        <f>+'Balance Financiero Minhacienda'!I120</f>
        <v>0</v>
      </c>
      <c r="J23" s="202">
        <f>+'Balance Financiero Minhacienda'!J120</f>
        <v>0</v>
      </c>
      <c r="K23" s="202">
        <f>+'Balance Financiero Minhacienda'!K120</f>
        <v>0</v>
      </c>
      <c r="L23" s="202">
        <f>+'Balance Financiero Minhacienda'!L120</f>
        <v>0</v>
      </c>
      <c r="M23" s="202">
        <f>+'Balance Financiero Minhacienda'!M120</f>
        <v>0</v>
      </c>
    </row>
    <row r="24" spans="1:13" ht="14.25" customHeight="1">
      <c r="A24" s="75" t="s">
        <v>441</v>
      </c>
      <c r="B24" s="64" t="s">
        <v>442</v>
      </c>
      <c r="C24" s="197">
        <f>SUM(C25:C26)</f>
        <v>14417</v>
      </c>
      <c r="D24" s="197">
        <f t="shared" ref="D24:M24" si="4">SUM(D25:D26)</f>
        <v>11250.000000000002</v>
      </c>
      <c r="E24" s="197">
        <f t="shared" si="4"/>
        <v>8100.0000000000009</v>
      </c>
      <c r="F24" s="197">
        <f t="shared" si="4"/>
        <v>5400.0000000000009</v>
      </c>
      <c r="G24" s="197">
        <f t="shared" si="4"/>
        <v>2700.0000000000005</v>
      </c>
      <c r="H24" s="197">
        <f t="shared" si="4"/>
        <v>0</v>
      </c>
      <c r="I24" s="197">
        <f t="shared" si="4"/>
        <v>0</v>
      </c>
      <c r="J24" s="197">
        <f t="shared" si="4"/>
        <v>0</v>
      </c>
      <c r="K24" s="197">
        <f t="shared" si="4"/>
        <v>0</v>
      </c>
      <c r="L24" s="197">
        <f t="shared" si="4"/>
        <v>0</v>
      </c>
      <c r="M24" s="197">
        <f t="shared" si="4"/>
        <v>0</v>
      </c>
    </row>
    <row r="25" spans="1:13" s="61" customFormat="1" ht="14.25" customHeight="1">
      <c r="A25" s="68">
        <v>6.1</v>
      </c>
      <c r="B25" s="72" t="s">
        <v>443</v>
      </c>
      <c r="C25" s="200">
        <f>+'Balance Financiero Minhacienda'!C70</f>
        <v>14417</v>
      </c>
      <c r="D25" s="200">
        <f>+'Balance Financiero Minhacienda'!D70</f>
        <v>11250.000000000002</v>
      </c>
      <c r="E25" s="200">
        <f>+'Balance Financiero Minhacienda'!E70</f>
        <v>8100.0000000000009</v>
      </c>
      <c r="F25" s="200">
        <f>+'Balance Financiero Minhacienda'!F70</f>
        <v>5400.0000000000009</v>
      </c>
      <c r="G25" s="200">
        <f>+'Balance Financiero Minhacienda'!G70</f>
        <v>2700.0000000000005</v>
      </c>
      <c r="H25" s="200">
        <f>+'Balance Financiero Minhacienda'!H70</f>
        <v>0</v>
      </c>
      <c r="I25" s="200">
        <f>+'Balance Financiero Minhacienda'!I70</f>
        <v>0</v>
      </c>
      <c r="J25" s="200">
        <f>+'Balance Financiero Minhacienda'!J70</f>
        <v>0</v>
      </c>
      <c r="K25" s="200">
        <f>+'Balance Financiero Minhacienda'!K70</f>
        <v>0</v>
      </c>
      <c r="L25" s="200">
        <f>+'Balance Financiero Minhacienda'!L70</f>
        <v>0</v>
      </c>
      <c r="M25" s="200">
        <f>+'Balance Financiero Minhacienda'!M70</f>
        <v>0</v>
      </c>
    </row>
    <row r="26" spans="1:13" s="61" customFormat="1" ht="14.25" customHeight="1">
      <c r="A26" s="68">
        <v>6.2</v>
      </c>
      <c r="B26" s="72" t="s">
        <v>444</v>
      </c>
      <c r="C26" s="201"/>
      <c r="D26" s="201"/>
      <c r="E26" s="201"/>
      <c r="F26" s="201"/>
      <c r="G26" s="201"/>
      <c r="H26" s="201"/>
      <c r="I26" s="201"/>
      <c r="J26" s="201"/>
      <c r="K26" s="201"/>
      <c r="L26" s="201"/>
      <c r="M26" s="201"/>
    </row>
    <row r="27" spans="1:13" ht="14.25" customHeight="1">
      <c r="A27" s="75" t="s">
        <v>445</v>
      </c>
      <c r="B27" s="64" t="s">
        <v>446</v>
      </c>
      <c r="C27" s="197">
        <f>+'Balance Financiero Minhacienda'!C102+'Balance Financiero Minhacienda'!C105</f>
        <v>255309</v>
      </c>
      <c r="D27" s="197">
        <f>+'Balance Financiero Minhacienda'!D102+'Balance Financiero Minhacienda'!D105</f>
        <v>175954</v>
      </c>
      <c r="E27" s="197">
        <f>+'Balance Financiero Minhacienda'!E102+'Balance Financiero Minhacienda'!E105</f>
        <v>175000</v>
      </c>
      <c r="F27" s="197">
        <f>+'Balance Financiero Minhacienda'!F102+'Balance Financiero Minhacienda'!F105</f>
        <v>150000</v>
      </c>
      <c r="G27" s="197">
        <f>+'Balance Financiero Minhacienda'!G102+'Balance Financiero Minhacienda'!G105</f>
        <v>150000</v>
      </c>
      <c r="H27" s="197">
        <f>+'Balance Financiero Minhacienda'!H102+'Balance Financiero Minhacienda'!H105</f>
        <v>150000</v>
      </c>
      <c r="I27" s="197">
        <f>+'Balance Financiero Minhacienda'!I102+'Balance Financiero Minhacienda'!I105</f>
        <v>0</v>
      </c>
      <c r="J27" s="197">
        <f>+'Balance Financiero Minhacienda'!J102+'Balance Financiero Minhacienda'!J105</f>
        <v>0</v>
      </c>
      <c r="K27" s="197">
        <f>+'Balance Financiero Minhacienda'!K102+'Balance Financiero Minhacienda'!K105</f>
        <v>0</v>
      </c>
      <c r="L27" s="197">
        <f>+'Balance Financiero Minhacienda'!L102+'Balance Financiero Minhacienda'!L105</f>
        <v>0</v>
      </c>
      <c r="M27" s="197">
        <f>+'Balance Financiero Minhacienda'!M102+'Balance Financiero Minhacienda'!M105</f>
        <v>0</v>
      </c>
    </row>
    <row r="28" spans="1:13" ht="14.25" customHeight="1">
      <c r="A28" s="75" t="s">
        <v>447</v>
      </c>
      <c r="B28" s="64" t="s">
        <v>448</v>
      </c>
      <c r="C28" s="197"/>
      <c r="D28" s="197"/>
      <c r="E28" s="197"/>
      <c r="F28" s="197"/>
      <c r="G28" s="197"/>
      <c r="H28" s="197"/>
      <c r="I28" s="197"/>
      <c r="J28" s="197"/>
      <c r="K28" s="197"/>
      <c r="L28" s="197"/>
      <c r="M28" s="197"/>
    </row>
    <row r="29" spans="1:13" s="61" customFormat="1" ht="14.25" customHeight="1">
      <c r="A29" s="68" t="s">
        <v>449</v>
      </c>
      <c r="B29" s="73" t="s">
        <v>450</v>
      </c>
      <c r="C29" s="199"/>
      <c r="D29" s="199"/>
      <c r="E29" s="199"/>
      <c r="F29" s="199"/>
      <c r="G29" s="199"/>
      <c r="H29" s="199"/>
      <c r="I29" s="199"/>
      <c r="J29" s="199"/>
      <c r="K29" s="199"/>
      <c r="L29" s="199"/>
      <c r="M29" s="199"/>
    </row>
    <row r="30" spans="1:13" s="61" customFormat="1" ht="14.25" customHeight="1">
      <c r="A30" s="68" t="s">
        <v>451</v>
      </c>
      <c r="B30" s="72" t="s">
        <v>452</v>
      </c>
      <c r="C30" s="199"/>
      <c r="D30" s="199"/>
      <c r="E30" s="199"/>
      <c r="F30" s="199"/>
      <c r="G30" s="199"/>
      <c r="H30" s="199"/>
      <c r="I30" s="199"/>
      <c r="J30" s="199"/>
      <c r="K30" s="199"/>
      <c r="L30" s="199"/>
      <c r="M30" s="199"/>
    </row>
    <row r="31" spans="1:13" s="61" customFormat="1" ht="14.25" customHeight="1">
      <c r="A31" s="68" t="s">
        <v>453</v>
      </c>
      <c r="B31" s="72" t="s">
        <v>454</v>
      </c>
      <c r="C31" s="199"/>
      <c r="D31" s="199"/>
      <c r="E31" s="199"/>
      <c r="F31" s="199"/>
      <c r="G31" s="199"/>
      <c r="H31" s="199"/>
      <c r="I31" s="199"/>
      <c r="J31" s="199"/>
      <c r="K31" s="199"/>
      <c r="L31" s="199"/>
      <c r="M31" s="199"/>
    </row>
    <row r="32" spans="1:13" s="61" customFormat="1" ht="14.25" customHeight="1">
      <c r="A32" s="74" t="s">
        <v>455</v>
      </c>
      <c r="B32" s="72" t="s">
        <v>456</v>
      </c>
      <c r="C32" s="201"/>
      <c r="D32" s="201"/>
      <c r="E32" s="201"/>
      <c r="F32" s="201"/>
      <c r="G32" s="201"/>
      <c r="H32" s="201"/>
      <c r="I32" s="201"/>
      <c r="J32" s="201"/>
      <c r="K32" s="201"/>
      <c r="L32" s="201"/>
      <c r="M32" s="201"/>
    </row>
    <row r="33" spans="1:13" ht="14.25" customHeight="1">
      <c r="A33" s="75" t="s">
        <v>457</v>
      </c>
      <c r="B33" s="64" t="s">
        <v>458</v>
      </c>
      <c r="C33" s="64"/>
      <c r="D33" s="64"/>
      <c r="E33" s="64"/>
      <c r="F33" s="64"/>
      <c r="G33" s="64"/>
      <c r="H33" s="64"/>
      <c r="I33" s="64"/>
      <c r="J33" s="64"/>
      <c r="K33" s="64"/>
      <c r="L33" s="64"/>
      <c r="M33" s="64"/>
    </row>
    <row r="34" spans="1:13" ht="14.25" customHeight="1">
      <c r="A34" s="76" t="s">
        <v>459</v>
      </c>
      <c r="B34" s="78" t="s">
        <v>460</v>
      </c>
      <c r="C34" s="204">
        <f>+C24+C31</f>
        <v>14417</v>
      </c>
      <c r="D34" s="204">
        <f t="shared" ref="D34:M34" si="5">+D24+D31</f>
        <v>11250.000000000002</v>
      </c>
      <c r="E34" s="204">
        <f t="shared" si="5"/>
        <v>8100.0000000000009</v>
      </c>
      <c r="F34" s="204">
        <f t="shared" si="5"/>
        <v>5400.0000000000009</v>
      </c>
      <c r="G34" s="204">
        <f t="shared" si="5"/>
        <v>2700.0000000000005</v>
      </c>
      <c r="H34" s="204">
        <f t="shared" si="5"/>
        <v>0</v>
      </c>
      <c r="I34" s="204">
        <f t="shared" si="5"/>
        <v>0</v>
      </c>
      <c r="J34" s="204">
        <f t="shared" si="5"/>
        <v>0</v>
      </c>
      <c r="K34" s="204">
        <f t="shared" si="5"/>
        <v>0</v>
      </c>
      <c r="L34" s="204">
        <f t="shared" si="5"/>
        <v>0</v>
      </c>
      <c r="M34" s="204">
        <f t="shared" si="5"/>
        <v>0</v>
      </c>
    </row>
    <row r="35" spans="1:13" ht="14.25" customHeight="1">
      <c r="A35" s="76" t="s">
        <v>461</v>
      </c>
      <c r="B35" s="78" t="s">
        <v>462</v>
      </c>
      <c r="C35" s="204">
        <f>+C32+C23</f>
        <v>800954</v>
      </c>
      <c r="D35" s="204">
        <f t="shared" ref="D35:M35" si="6">+D32+D23</f>
        <v>625000</v>
      </c>
      <c r="E35" s="204">
        <f t="shared" si="6"/>
        <v>450000</v>
      </c>
      <c r="F35" s="204">
        <f t="shared" si="6"/>
        <v>300000</v>
      </c>
      <c r="G35" s="204">
        <f t="shared" si="6"/>
        <v>150000</v>
      </c>
      <c r="H35" s="204">
        <f t="shared" si="6"/>
        <v>0</v>
      </c>
      <c r="I35" s="204">
        <f t="shared" si="6"/>
        <v>0</v>
      </c>
      <c r="J35" s="204">
        <f t="shared" si="6"/>
        <v>0</v>
      </c>
      <c r="K35" s="204">
        <f t="shared" si="6"/>
        <v>0</v>
      </c>
      <c r="L35" s="204">
        <f t="shared" si="6"/>
        <v>0</v>
      </c>
      <c r="M35" s="204">
        <f t="shared" si="6"/>
        <v>0</v>
      </c>
    </row>
    <row r="36" spans="1:13" ht="14.25" customHeight="1">
      <c r="A36" s="76" t="s">
        <v>463</v>
      </c>
      <c r="B36" s="79" t="s">
        <v>481</v>
      </c>
      <c r="C36" s="203">
        <f t="shared" ref="C36" si="7">C34/C21*100</f>
        <v>0.41178097404756298</v>
      </c>
      <c r="D36" s="203">
        <f t="shared" ref="D36:M36" si="8">D34/D21*100</f>
        <v>0.650806394505692</v>
      </c>
      <c r="E36" s="203">
        <f t="shared" si="8"/>
        <v>0.45055844215803037</v>
      </c>
      <c r="F36" s="203">
        <f t="shared" si="8"/>
        <v>0.28881947712977629</v>
      </c>
      <c r="G36" s="203">
        <f t="shared" si="8"/>
        <v>0.13885560354359502</v>
      </c>
      <c r="H36" s="203">
        <f t="shared" si="8"/>
        <v>0</v>
      </c>
      <c r="I36" s="203">
        <f t="shared" si="8"/>
        <v>0</v>
      </c>
      <c r="J36" s="203">
        <f t="shared" si="8"/>
        <v>0</v>
      </c>
      <c r="K36" s="203">
        <f t="shared" si="8"/>
        <v>0</v>
      </c>
      <c r="L36" s="203">
        <f t="shared" si="8"/>
        <v>0</v>
      </c>
      <c r="M36" s="203">
        <f t="shared" si="8"/>
        <v>0</v>
      </c>
    </row>
    <row r="37" spans="1:13" ht="14.25" customHeight="1">
      <c r="A37" s="76" t="s">
        <v>464</v>
      </c>
      <c r="B37" s="79" t="s">
        <v>480</v>
      </c>
      <c r="C37" s="203">
        <f t="shared" ref="C37" si="9">C35/C3*100</f>
        <v>15.016849296984109</v>
      </c>
      <c r="D37" s="203">
        <f t="shared" ref="D37:M37" si="10">D35/D3*100</f>
        <v>21.80222655618936</v>
      </c>
      <c r="E37" s="203">
        <f t="shared" si="10"/>
        <v>15.093853581570205</v>
      </c>
      <c r="F37" s="203">
        <f t="shared" si="10"/>
        <v>9.6755435478476599</v>
      </c>
      <c r="G37" s="203">
        <f t="shared" si="10"/>
        <v>4.6517051290320977</v>
      </c>
      <c r="H37" s="203">
        <f t="shared" si="10"/>
        <v>0</v>
      </c>
      <c r="I37" s="203">
        <f t="shared" si="10"/>
        <v>0</v>
      </c>
      <c r="J37" s="203">
        <f t="shared" si="10"/>
        <v>0</v>
      </c>
      <c r="K37" s="203">
        <f t="shared" si="10"/>
        <v>0</v>
      </c>
      <c r="L37" s="203">
        <f t="shared" si="10"/>
        <v>0</v>
      </c>
      <c r="M37" s="203">
        <f t="shared" si="10"/>
        <v>0</v>
      </c>
    </row>
    <row r="38" spans="1:13" ht="14.25" customHeight="1">
      <c r="A38" s="76" t="s">
        <v>465</v>
      </c>
      <c r="B38" s="78" t="s">
        <v>466</v>
      </c>
      <c r="C38" s="76" t="str">
        <f>IF(AND(C36&gt;=0,C36&lt;=40),"VERDE","ROJO")</f>
        <v>VERDE</v>
      </c>
      <c r="D38" s="76" t="str">
        <f>IF(AND(D36&gt;=0,D36&lt;=40),"VERDE","ROJO")</f>
        <v>VERDE</v>
      </c>
      <c r="E38" s="76" t="str">
        <f t="shared" ref="E38:M38" si="11">IF(AND(E36&gt;=0,E36&lt;=40),"VERDE","ROJO")</f>
        <v>VERDE</v>
      </c>
      <c r="F38" s="76" t="str">
        <f t="shared" si="11"/>
        <v>VERDE</v>
      </c>
      <c r="G38" s="76" t="str">
        <f t="shared" si="11"/>
        <v>VERDE</v>
      </c>
      <c r="H38" s="76" t="str">
        <f t="shared" si="11"/>
        <v>VERDE</v>
      </c>
      <c r="I38" s="76" t="str">
        <f t="shared" si="11"/>
        <v>VERDE</v>
      </c>
      <c r="J38" s="76" t="str">
        <f t="shared" si="11"/>
        <v>VERDE</v>
      </c>
      <c r="K38" s="76" t="str">
        <f t="shared" si="11"/>
        <v>VERDE</v>
      </c>
      <c r="L38" s="76" t="str">
        <f t="shared" si="11"/>
        <v>VERDE</v>
      </c>
      <c r="M38" s="76" t="str">
        <f t="shared" si="11"/>
        <v>VERDE</v>
      </c>
    </row>
    <row r="39" spans="1:13" ht="14.25" customHeight="1">
      <c r="A39" s="76" t="s">
        <v>467</v>
      </c>
      <c r="B39" s="78" t="s">
        <v>468</v>
      </c>
      <c r="C39" s="76" t="str">
        <f>IF(C37&lt;=80,"VERDE","ROJO")</f>
        <v>VERDE</v>
      </c>
      <c r="D39" s="76" t="str">
        <f t="shared" ref="D39:M39" si="12">IF(D37&lt;=80,"VERDE","ROJO")</f>
        <v>VERDE</v>
      </c>
      <c r="E39" s="76" t="str">
        <f t="shared" si="12"/>
        <v>VERDE</v>
      </c>
      <c r="F39" s="76" t="str">
        <f t="shared" si="12"/>
        <v>VERDE</v>
      </c>
      <c r="G39" s="76" t="str">
        <f t="shared" si="12"/>
        <v>VERDE</v>
      </c>
      <c r="H39" s="76" t="str">
        <f t="shared" si="12"/>
        <v>VERDE</v>
      </c>
      <c r="I39" s="76" t="str">
        <f t="shared" si="12"/>
        <v>VERDE</v>
      </c>
      <c r="J39" s="76" t="str">
        <f t="shared" si="12"/>
        <v>VERDE</v>
      </c>
      <c r="K39" s="76" t="str">
        <f t="shared" si="12"/>
        <v>VERDE</v>
      </c>
      <c r="L39" s="76" t="str">
        <f t="shared" si="12"/>
        <v>VERDE</v>
      </c>
      <c r="M39" s="76" t="str">
        <f t="shared" si="12"/>
        <v>VERDE</v>
      </c>
    </row>
    <row r="40" spans="1:13" ht="14.25" customHeight="1">
      <c r="A40" s="76" t="s">
        <v>469</v>
      </c>
      <c r="B40" s="78" t="s">
        <v>470</v>
      </c>
      <c r="C40" s="76" t="str">
        <f>IF(AND(C38="VERDE",C39="VERDE",+Superávit!B10="SOSTENIBLE"),"VERDE","ROJO")</f>
        <v>ROJO</v>
      </c>
      <c r="D40" s="76" t="str">
        <f>IF(AND(D38="VERDE",D39="VERDE",+'[32]Superávit Primario'!C10="SOSTENIBLE"),"VERDE","ROJO")</f>
        <v>VERDE</v>
      </c>
      <c r="E40" s="76" t="str">
        <f>IF(AND(E38="VERDE",E39="VERDE",+'[32]Superávit Primario'!D10="SOSTENIBLE"),"VERDE","ROJO")</f>
        <v>VERDE</v>
      </c>
      <c r="F40" s="76" t="str">
        <f>IF(AND(F38="VERDE",F39="VERDE",+'[32]Superávit Primario'!E10="SOSTENIBLE"),"VERDE","ROJO")</f>
        <v>VERDE</v>
      </c>
      <c r="G40" s="76" t="str">
        <f>IF(AND(G38="VERDE",G39="VERDE",+'[32]Superávit Primario'!F10="SOSTENIBLE"),"VERDE","ROJO")</f>
        <v>VERDE</v>
      </c>
      <c r="H40" s="76" t="str">
        <f>IF(AND(H38="VERDE",H39="VERDE",+'[32]Superávit Primario'!G10="SOSTENIBLE"),"VERDE","ROJO")</f>
        <v>VERDE</v>
      </c>
      <c r="I40" s="76" t="str">
        <f>IF(AND(I38="VERDE",I39="VERDE",+'[32]Superávit Primario'!H10="SOSTENIBLE"),"VERDE","ROJO")</f>
        <v>VERDE</v>
      </c>
      <c r="J40" s="76" t="str">
        <f>IF(AND(J38="VERDE",J39="VERDE",+'[32]Superávit Primario'!I10="SOSTENIBLE"),"VERDE","ROJO")</f>
        <v>VERDE</v>
      </c>
      <c r="K40" s="76" t="str">
        <f>IF(AND(K38="VERDE",K39="VERDE",+'[32]Superávit Primario'!J10="SOSTENIBLE"),"VERDE","ROJO")</f>
        <v>VERDE</v>
      </c>
      <c r="L40" s="76" t="str">
        <f>IF(AND(L38="VERDE",L39="VERDE",+'[32]Superávit Primario'!K10="SOSTENIBLE"),"VERDE","ROJO")</f>
        <v>VERDE</v>
      </c>
      <c r="M40" s="76" t="str">
        <f>IF(AND(M38="VERDE",M39="VERDE",+'[32]Superávit Primario'!L10="SOSTENIBLE"),"VERDE","ROJO")</f>
        <v>VERDE</v>
      </c>
    </row>
  </sheetData>
  <protectedRanges>
    <protectedRange sqref="D1 A1:B1" name="Rango1_1"/>
    <protectedRange sqref="D29:M31" name="Rango5_1_1"/>
    <protectedRange sqref="C22:M22" name="Rango2_1_1"/>
  </protectedRange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dimension ref="A1:L13"/>
  <sheetViews>
    <sheetView topLeftCell="A2" zoomScale="120" zoomScaleNormal="120" workbookViewId="0">
      <selection activeCell="B8" sqref="B8"/>
    </sheetView>
  </sheetViews>
  <sheetFormatPr baseColWidth="10" defaultRowHeight="16.5"/>
  <cols>
    <col min="1" max="1" width="29.7109375" style="59" customWidth="1"/>
    <col min="2" max="12" width="10.140625" style="59" customWidth="1"/>
    <col min="13" max="16384" width="11.42578125" style="59"/>
  </cols>
  <sheetData>
    <row r="1" spans="1:12">
      <c r="A1" s="212" t="s">
        <v>471</v>
      </c>
    </row>
    <row r="2" spans="1:12" ht="18.75" customHeight="1">
      <c r="A2" s="265" t="s">
        <v>485</v>
      </c>
      <c r="B2" s="265"/>
      <c r="C2" s="92"/>
      <c r="D2" s="60"/>
      <c r="E2" s="60"/>
      <c r="F2" s="60"/>
      <c r="G2" s="60"/>
      <c r="H2" s="60"/>
      <c r="I2" s="60"/>
      <c r="J2" s="60"/>
      <c r="K2" s="60"/>
      <c r="L2" s="60"/>
    </row>
    <row r="3" spans="1:12">
      <c r="A3" s="69" t="s">
        <v>471</v>
      </c>
      <c r="B3" s="69">
        <f>+'Plan Financiero DNP'!C3</f>
        <v>2011</v>
      </c>
      <c r="C3" s="69">
        <f>+'Plan Financiero DNP'!D3</f>
        <v>2012</v>
      </c>
      <c r="D3" s="69">
        <f>+'Plan Financiero DNP'!E3</f>
        <v>2013</v>
      </c>
      <c r="E3" s="69">
        <f>+'Plan Financiero DNP'!F3</f>
        <v>2014</v>
      </c>
      <c r="F3" s="69">
        <f>+'Plan Financiero DNP'!G3</f>
        <v>2015</v>
      </c>
      <c r="G3" s="69">
        <f>+'Plan Financiero DNP'!H3</f>
        <v>2016</v>
      </c>
      <c r="H3" s="69">
        <f>+'Plan Financiero DNP'!I3</f>
        <v>2017</v>
      </c>
      <c r="I3" s="69">
        <f>+'Plan Financiero DNP'!J3</f>
        <v>2018</v>
      </c>
      <c r="J3" s="69">
        <f>+'Plan Financiero DNP'!K3</f>
        <v>2019</v>
      </c>
      <c r="K3" s="69">
        <f>+'Plan Financiero DNP'!L3</f>
        <v>2020</v>
      </c>
      <c r="L3" s="69">
        <f>+'Plan Financiero DNP'!M3</f>
        <v>2021</v>
      </c>
    </row>
    <row r="4" spans="1:12">
      <c r="A4" s="93" t="s">
        <v>337</v>
      </c>
      <c r="B4" s="252">
        <f>+'Balance Financiero Minhacienda'!C5</f>
        <v>6454787.5450000009</v>
      </c>
      <c r="C4" s="252">
        <f>+'Balance Financiero Minhacienda'!D5</f>
        <v>5567280.2510000002</v>
      </c>
      <c r="D4" s="252">
        <f>+'Balance Financiero Minhacienda'!E5</f>
        <v>5789970</v>
      </c>
      <c r="E4" s="252">
        <f>+'Balance Financiero Minhacienda'!F5</f>
        <v>6021569</v>
      </c>
      <c r="F4" s="252">
        <f>+'Balance Financiero Minhacienda'!G5</f>
        <v>6262431</v>
      </c>
      <c r="G4" s="252">
        <f>+'Balance Financiero Minhacienda'!H5</f>
        <v>6512927</v>
      </c>
      <c r="H4" s="252">
        <f>+'Balance Financiero Minhacienda'!I5</f>
        <v>6773444</v>
      </c>
      <c r="I4" s="252">
        <f>+'Balance Financiero Minhacienda'!J5</f>
        <v>7044382</v>
      </c>
      <c r="J4" s="252">
        <f>+'Balance Financiero Minhacienda'!K5</f>
        <v>7326158</v>
      </c>
      <c r="K4" s="252">
        <f>+'Balance Financiero Minhacienda'!L5</f>
        <v>7619206</v>
      </c>
      <c r="L4" s="252">
        <f>+'Balance Financiero Minhacienda'!M5</f>
        <v>7923976</v>
      </c>
    </row>
    <row r="5" spans="1:12">
      <c r="A5" s="93" t="s">
        <v>472</v>
      </c>
      <c r="B5" s="252">
        <f>+'Balance Financiero Minhacienda'!C74</f>
        <v>3878652.4849999999</v>
      </c>
      <c r="C5" s="252">
        <f>+'Balance Financiero Minhacienda'!D74</f>
        <v>909843.076</v>
      </c>
      <c r="D5" s="252">
        <f>+'Balance Financiero Minhacienda'!E74</f>
        <v>946237</v>
      </c>
      <c r="E5" s="252">
        <f>+'Balance Financiero Minhacienda'!F74</f>
        <v>984087</v>
      </c>
      <c r="F5" s="252">
        <f>+'Balance Financiero Minhacienda'!G74</f>
        <v>1023450</v>
      </c>
      <c r="G5" s="252">
        <f>+'Balance Financiero Minhacienda'!H74</f>
        <v>1064389</v>
      </c>
      <c r="H5" s="252">
        <f>+'Balance Financiero Minhacienda'!I74</f>
        <v>1106965</v>
      </c>
      <c r="I5" s="252">
        <f>+'Balance Financiero Minhacienda'!J74</f>
        <v>1151244</v>
      </c>
      <c r="J5" s="252">
        <f>+'Balance Financiero Minhacienda'!K74</f>
        <v>1197293</v>
      </c>
      <c r="K5" s="252">
        <f>+'Balance Financiero Minhacienda'!L74</f>
        <v>1245186</v>
      </c>
      <c r="L5" s="252">
        <f>+'Balance Financiero Minhacienda'!M74</f>
        <v>1294993</v>
      </c>
    </row>
    <row r="6" spans="1:12">
      <c r="A6" s="93" t="s">
        <v>420</v>
      </c>
      <c r="B6" s="252">
        <f>+'Balance Financiero Minhacienda'!C45+'Balance Financiero Minhacienda'!C60+'Balance Financiero Minhacienda'!C63</f>
        <v>1838708.9536000001</v>
      </c>
      <c r="C6" s="252">
        <f>+'Balance Financiero Minhacienda'!D45+'Balance Financiero Minhacienda'!D60+'Balance Financiero Minhacienda'!D63</f>
        <v>1138055</v>
      </c>
      <c r="D6" s="252">
        <f>+'Balance Financiero Minhacienda'!E45+'Balance Financiero Minhacienda'!E60+'Balance Financiero Minhacienda'!E63</f>
        <v>1183577</v>
      </c>
      <c r="E6" s="252">
        <f>+'Balance Financiero Minhacienda'!F45+'Balance Financiero Minhacienda'!F60+'Balance Financiero Minhacienda'!F63</f>
        <v>1230921</v>
      </c>
      <c r="F6" s="252">
        <f>+'Balance Financiero Minhacienda'!G45+'Balance Financiero Minhacienda'!G60+'Balance Financiero Minhacienda'!G63</f>
        <v>1280158</v>
      </c>
      <c r="G6" s="252">
        <f>+'Balance Financiero Minhacienda'!H45+'Balance Financiero Minhacienda'!H60+'Balance Financiero Minhacienda'!H63</f>
        <v>1331364</v>
      </c>
      <c r="H6" s="252">
        <f>+'Balance Financiero Minhacienda'!I45+'Balance Financiero Minhacienda'!I60+'Balance Financiero Minhacienda'!I63</f>
        <v>1384619</v>
      </c>
      <c r="I6" s="252">
        <f>+'Balance Financiero Minhacienda'!J45+'Balance Financiero Minhacienda'!J60+'Balance Financiero Minhacienda'!J63</f>
        <v>1440004</v>
      </c>
      <c r="J6" s="252">
        <f>+'Balance Financiero Minhacienda'!K45+'Balance Financiero Minhacienda'!K60+'Balance Financiero Minhacienda'!K63</f>
        <v>1497603</v>
      </c>
      <c r="K6" s="252">
        <f>+'Balance Financiero Minhacienda'!L45+'Balance Financiero Minhacienda'!L60+'Balance Financiero Minhacienda'!L63</f>
        <v>1557507</v>
      </c>
      <c r="L6" s="252">
        <f>+'Balance Financiero Minhacienda'!M45+'Balance Financiero Minhacienda'!M60+'Balance Financiero Minhacienda'!M63</f>
        <v>1619808</v>
      </c>
    </row>
    <row r="7" spans="1:12">
      <c r="A7" s="93" t="s">
        <v>473</v>
      </c>
      <c r="B7" s="252">
        <f>+'Balance Financiero Minhacienda'!C64+'Balance Financiero Minhacienda'!C86</f>
        <v>8488246.1910000015</v>
      </c>
      <c r="C7" s="252">
        <f>+'Balance Financiero Minhacienda'!D64+'Balance Financiero Minhacienda'!D86</f>
        <v>4736787.6189999999</v>
      </c>
      <c r="D7" s="252">
        <f>+'Balance Financiero Minhacienda'!E64+'Balance Financiero Minhacienda'!E86</f>
        <v>4926259</v>
      </c>
      <c r="E7" s="252">
        <f>+'Balance Financiero Minhacienda'!F64+'Balance Financiero Minhacienda'!F86</f>
        <v>5123310</v>
      </c>
      <c r="F7" s="252">
        <f>+'Balance Financiero Minhacienda'!G64+'Balance Financiero Minhacienda'!G86</f>
        <v>5328242</v>
      </c>
      <c r="G7" s="252">
        <f>+'Balance Financiero Minhacienda'!H64+'Balance Financiero Minhacienda'!H86</f>
        <v>5541373</v>
      </c>
      <c r="H7" s="252">
        <f>+'Balance Financiero Minhacienda'!I64+'Balance Financiero Minhacienda'!I86</f>
        <v>5763029</v>
      </c>
      <c r="I7" s="252">
        <f>+'Balance Financiero Minhacienda'!J64+'Balance Financiero Minhacienda'!J86</f>
        <v>5993549</v>
      </c>
      <c r="J7" s="252">
        <f>+'Balance Financiero Minhacienda'!K64+'Balance Financiero Minhacienda'!K86</f>
        <v>6233292</v>
      </c>
      <c r="K7" s="252">
        <f>+'Balance Financiero Minhacienda'!L64+'Balance Financiero Minhacienda'!L86</f>
        <v>6482624</v>
      </c>
      <c r="L7" s="252">
        <f>+'Balance Financiero Minhacienda'!M64+'Balance Financiero Minhacienda'!M86</f>
        <v>6741929</v>
      </c>
    </row>
    <row r="8" spans="1:12">
      <c r="A8" s="93" t="s">
        <v>471</v>
      </c>
      <c r="B8" s="252">
        <f>+B4+B5-B6-B7</f>
        <v>6484.885399999097</v>
      </c>
      <c r="C8" s="252">
        <f t="shared" ref="C8:L8" si="0">+C4+C5-C6-C7</f>
        <v>602280.70800000057</v>
      </c>
      <c r="D8" s="252">
        <f t="shared" si="0"/>
        <v>626371</v>
      </c>
      <c r="E8" s="252">
        <f t="shared" si="0"/>
        <v>651425</v>
      </c>
      <c r="F8" s="252">
        <f t="shared" si="0"/>
        <v>677481</v>
      </c>
      <c r="G8" s="252">
        <f t="shared" si="0"/>
        <v>704579</v>
      </c>
      <c r="H8" s="252">
        <f t="shared" si="0"/>
        <v>732761</v>
      </c>
      <c r="I8" s="252">
        <f t="shared" si="0"/>
        <v>762073</v>
      </c>
      <c r="J8" s="252">
        <f t="shared" si="0"/>
        <v>792556</v>
      </c>
      <c r="K8" s="252">
        <f t="shared" si="0"/>
        <v>824261</v>
      </c>
      <c r="L8" s="252">
        <f t="shared" si="0"/>
        <v>857232</v>
      </c>
    </row>
    <row r="9" spans="1:12" ht="28.5" customHeight="1">
      <c r="A9" s="96" t="s">
        <v>474</v>
      </c>
      <c r="B9" s="253">
        <f t="shared" ref="B9:L9" si="1">IF(B13&lt;&gt;0,B8/(B13)*100,IF(AND(B13=0,B8&lt;0),0,100))</f>
        <v>44.980824027183857</v>
      </c>
      <c r="C9" s="253">
        <f t="shared" si="1"/>
        <v>5353.6062933333378</v>
      </c>
      <c r="D9" s="253">
        <f t="shared" si="1"/>
        <v>7732.9753086419742</v>
      </c>
      <c r="E9" s="253">
        <f t="shared" si="1"/>
        <v>12063.425925925923</v>
      </c>
      <c r="F9" s="253">
        <f t="shared" si="1"/>
        <v>25091.888888888887</v>
      </c>
      <c r="G9" s="253">
        <f t="shared" si="1"/>
        <v>100</v>
      </c>
      <c r="H9" s="253">
        <f t="shared" si="1"/>
        <v>100</v>
      </c>
      <c r="I9" s="253">
        <f t="shared" si="1"/>
        <v>100</v>
      </c>
      <c r="J9" s="253">
        <f t="shared" si="1"/>
        <v>100</v>
      </c>
      <c r="K9" s="253">
        <f t="shared" si="1"/>
        <v>100</v>
      </c>
      <c r="L9" s="253">
        <f t="shared" si="1"/>
        <v>100</v>
      </c>
    </row>
    <row r="10" spans="1:12">
      <c r="A10" s="78"/>
      <c r="B10" s="254" t="str">
        <f t="shared" ref="B10:L10" si="2">IF(B9&lt;100,"INSOSTENIBLE","SOSTENIBLE")</f>
        <v>INSOSTENIBLE</v>
      </c>
      <c r="C10" s="254" t="str">
        <f t="shared" si="2"/>
        <v>SOSTENIBLE</v>
      </c>
      <c r="D10" s="254" t="str">
        <f t="shared" si="2"/>
        <v>SOSTENIBLE</v>
      </c>
      <c r="E10" s="254" t="str">
        <f t="shared" si="2"/>
        <v>SOSTENIBLE</v>
      </c>
      <c r="F10" s="254" t="str">
        <f t="shared" si="2"/>
        <v>SOSTENIBLE</v>
      </c>
      <c r="G10" s="254" t="str">
        <f t="shared" si="2"/>
        <v>SOSTENIBLE</v>
      </c>
      <c r="H10" s="254" t="str">
        <f t="shared" si="2"/>
        <v>SOSTENIBLE</v>
      </c>
      <c r="I10" s="254" t="str">
        <f t="shared" si="2"/>
        <v>SOSTENIBLE</v>
      </c>
      <c r="J10" s="254" t="str">
        <f t="shared" si="2"/>
        <v>SOSTENIBLE</v>
      </c>
      <c r="K10" s="254" t="str">
        <f t="shared" si="2"/>
        <v>SOSTENIBLE</v>
      </c>
      <c r="L10" s="254" t="str">
        <f t="shared" si="2"/>
        <v>SOSTENIBLE</v>
      </c>
    </row>
    <row r="11" spans="1:12">
      <c r="A11" s="94" t="s">
        <v>287</v>
      </c>
      <c r="B11" s="255"/>
      <c r="C11" s="255"/>
      <c r="D11" s="255"/>
      <c r="E11" s="255"/>
      <c r="F11" s="255"/>
      <c r="G11" s="255"/>
      <c r="H11" s="255"/>
      <c r="I11" s="256"/>
      <c r="J11" s="255"/>
      <c r="K11" s="255"/>
      <c r="L11" s="255"/>
    </row>
    <row r="12" spans="1:12">
      <c r="A12" s="78" t="s">
        <v>475</v>
      </c>
      <c r="B12" s="257">
        <f>+B3</f>
        <v>2011</v>
      </c>
      <c r="C12" s="257">
        <f t="shared" ref="C12:L12" si="3">+C3</f>
        <v>2012</v>
      </c>
      <c r="D12" s="257">
        <f t="shared" si="3"/>
        <v>2013</v>
      </c>
      <c r="E12" s="257">
        <f t="shared" si="3"/>
        <v>2014</v>
      </c>
      <c r="F12" s="257">
        <f t="shared" si="3"/>
        <v>2015</v>
      </c>
      <c r="G12" s="257">
        <f t="shared" si="3"/>
        <v>2016</v>
      </c>
      <c r="H12" s="257">
        <f t="shared" si="3"/>
        <v>2017</v>
      </c>
      <c r="I12" s="257">
        <f t="shared" si="3"/>
        <v>2018</v>
      </c>
      <c r="J12" s="257">
        <f t="shared" si="3"/>
        <v>2019</v>
      </c>
      <c r="K12" s="257">
        <f t="shared" si="3"/>
        <v>2020</v>
      </c>
      <c r="L12" s="257">
        <f t="shared" si="3"/>
        <v>2021</v>
      </c>
    </row>
    <row r="13" spans="1:12">
      <c r="A13" s="95" t="s">
        <v>476</v>
      </c>
      <c r="B13" s="258">
        <f>+Deuda!C34</f>
        <v>14417</v>
      </c>
      <c r="C13" s="258">
        <f>+Deuda!D34</f>
        <v>11250.000000000002</v>
      </c>
      <c r="D13" s="258">
        <f>+Deuda!E34</f>
        <v>8100.0000000000009</v>
      </c>
      <c r="E13" s="258">
        <f>+Deuda!F34</f>
        <v>5400.0000000000009</v>
      </c>
      <c r="F13" s="258">
        <f>+Deuda!G34</f>
        <v>2700.0000000000005</v>
      </c>
      <c r="G13" s="258">
        <f>+Deuda!H34</f>
        <v>0</v>
      </c>
      <c r="H13" s="258">
        <f>+Deuda!I34</f>
        <v>0</v>
      </c>
      <c r="I13" s="258">
        <f>+Deuda!J34</f>
        <v>0</v>
      </c>
      <c r="J13" s="258">
        <f>+Deuda!K34</f>
        <v>0</v>
      </c>
      <c r="K13" s="258">
        <f>+Deuda!L34</f>
        <v>0</v>
      </c>
      <c r="L13" s="258">
        <f>+Deuda!M34</f>
        <v>0</v>
      </c>
    </row>
  </sheetData>
  <sheetProtection password="CF66"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Minhacienda'!Área_de_impresión</vt:lpstr>
    </vt:vector>
  </TitlesOfParts>
  <Company>Ministerio de Hacienda y 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rubiurre</cp:lastModifiedBy>
  <cp:lastPrinted>2011-09-19T22:31:27Z</cp:lastPrinted>
  <dcterms:created xsi:type="dcterms:W3CDTF">2010-10-25T23:46:00Z</dcterms:created>
  <dcterms:modified xsi:type="dcterms:W3CDTF">2012-06-07T16:08:00Z</dcterms:modified>
</cp:coreProperties>
</file>