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Proyecto Acuerdo marzo5" sheetId="1" r:id="rId1"/>
    <sheet name="Proyecto Acuerdo" sheetId="2" r:id="rId2"/>
    <sheet name="Anexo No.1" sheetId="3" r:id="rId3"/>
    <sheet name="Anexo No.2" sheetId="4" r:id="rId4"/>
    <sheet name="PROYECCIONOMINA 2008" sheetId="5" r:id="rId5"/>
    <sheet name="INSPECTORES Y COMISARIA DE FAMI" sheetId="6" r:id="rId6"/>
    <sheet name="ACTA" sheetId="7" r:id="rId7"/>
  </sheets>
  <definedNames>
    <definedName name="_xlnm.Print_Titles" localSheetId="4">'PROYECCIONOMINA 2008'!$A:$B,'PROYECCIONOMINA 2008'!$1:$2</definedName>
  </definedNames>
  <calcPr fullCalcOnLoad="1"/>
</workbook>
</file>

<file path=xl/sharedStrings.xml><?xml version="1.0" encoding="utf-8"?>
<sst xmlns="http://schemas.openxmlformats.org/spreadsheetml/2006/main" count="1489" uniqueCount="495">
  <si>
    <t xml:space="preserve">            </t>
  </si>
  <si>
    <t xml:space="preserve"> </t>
  </si>
  <si>
    <t>Por lo anteriormente expuesto:</t>
  </si>
  <si>
    <t xml:space="preserve">A C U E R D A </t>
  </si>
  <si>
    <t>INGRESOS CORRIENTES</t>
  </si>
  <si>
    <t>INGRESOS TRIBUTARIOS</t>
  </si>
  <si>
    <t>IMPUESTOS DIRECTOS</t>
  </si>
  <si>
    <t>Impuesto predial unificado</t>
  </si>
  <si>
    <t>Circulacion y transito</t>
  </si>
  <si>
    <t xml:space="preserve">Sobretasa ambiental </t>
  </si>
  <si>
    <t>IMPUESTOS INDIRECTOS</t>
  </si>
  <si>
    <t>Industria y comercio</t>
  </si>
  <si>
    <t>Avisos y tableros</t>
  </si>
  <si>
    <t>Juegos permitidos</t>
  </si>
  <si>
    <t>Rifas apuestas sorteos y otros</t>
  </si>
  <si>
    <t>Espectaculos públicos</t>
  </si>
  <si>
    <t>Extracción material  de arrastre arenas, caliza, cascajo, piedra de los lechos de los rios.</t>
  </si>
  <si>
    <t>Deguello ganado menor</t>
  </si>
  <si>
    <t>Sobretasa Bomberil</t>
  </si>
  <si>
    <t>Sobretasa a la gasolina</t>
  </si>
  <si>
    <t>Estampilla proadulto mayor</t>
  </si>
  <si>
    <t>Estampilla procultura</t>
  </si>
  <si>
    <t>Delineación y urbanismo</t>
  </si>
  <si>
    <t>INGRESOS NO TRIBUTARIOS</t>
  </si>
  <si>
    <t>TASAS Y TARIFAS</t>
  </si>
  <si>
    <t>Servicio matadero y pabellón carnes</t>
  </si>
  <si>
    <t>Licencias de transporte de ganado</t>
  </si>
  <si>
    <t>Complejo Ganadero, báscula</t>
  </si>
  <si>
    <t>Registro de marcas y herretes</t>
  </si>
  <si>
    <t>Expedición papeletas</t>
  </si>
  <si>
    <t>Expendio paz y salvo</t>
  </si>
  <si>
    <t>Ingresos papelería</t>
  </si>
  <si>
    <t>Almotacen pesas y medidas</t>
  </si>
  <si>
    <t>Ocupación vías y plazas públicas</t>
  </si>
  <si>
    <t>Publicación Contratos</t>
  </si>
  <si>
    <t>Alquiler maquinaria agrícola</t>
  </si>
  <si>
    <t>Arriendo bienes inmuebles</t>
  </si>
  <si>
    <t>RENTAS OCASIONALES</t>
  </si>
  <si>
    <t>Depósito y semovientes</t>
  </si>
  <si>
    <t>Multas administrativas</t>
  </si>
  <si>
    <t>Ingresos varios</t>
  </si>
  <si>
    <t>INTERESES SOBRE IMPTOS</t>
  </si>
  <si>
    <t>Intereses Predial vigencia actual</t>
  </si>
  <si>
    <t>Intereses Predial vigencias anteriores</t>
  </si>
  <si>
    <t>Intereses Industria y Comercio</t>
  </si>
  <si>
    <t>Sector Educación</t>
  </si>
  <si>
    <t xml:space="preserve">Salud Publica </t>
  </si>
  <si>
    <t>Régimen Subisidiado Continuidad</t>
  </si>
  <si>
    <t>Régimen Subisidiado Ampliación</t>
  </si>
  <si>
    <t>Alimentación escolar</t>
  </si>
  <si>
    <t>Participación Red Solidaridad</t>
  </si>
  <si>
    <t>Participación aportes y/o convenios otras entidades nacionales</t>
  </si>
  <si>
    <t>Ingresos Convenio ICA</t>
  </si>
  <si>
    <t>Otros aportes participaciones y regalias</t>
  </si>
  <si>
    <t>PARTICIPACIONES DPTALES</t>
  </si>
  <si>
    <t>Deguello ganado mayor</t>
  </si>
  <si>
    <t>Instituto Colombiano de Bienestar Familiar</t>
  </si>
  <si>
    <t>Otros aportes y/o convenios entidades Departamentales</t>
  </si>
  <si>
    <t>VENTA BIENES MPALES</t>
  </si>
  <si>
    <t>Venta bienes muebles</t>
  </si>
  <si>
    <t xml:space="preserve">Venta bienes inmuebles </t>
  </si>
  <si>
    <t>Venta ejidos municipales</t>
  </si>
  <si>
    <t>Venta maquinaria</t>
  </si>
  <si>
    <t>INGRESOS DE CAPITAL</t>
  </si>
  <si>
    <t>RENDI.OPE.FINANCIERAS</t>
  </si>
  <si>
    <t>Rendimientos financieros</t>
  </si>
  <si>
    <t>RECURSOS DEL BALANCE</t>
  </si>
  <si>
    <t>Cancelación de reservas</t>
  </si>
  <si>
    <t>Otros recursos del balance</t>
  </si>
  <si>
    <t>FONDOS</t>
  </si>
  <si>
    <t>FONDO DE SEGURIDAD</t>
  </si>
  <si>
    <t>FONDO DE SEGURIDAD CIUDADADANA</t>
  </si>
  <si>
    <t>Fondo de seguridad ciudadana</t>
  </si>
  <si>
    <t>FONDO VIAL MUNICIPAL</t>
  </si>
  <si>
    <t>Ingresos varios Fondo vial Municipal</t>
  </si>
  <si>
    <t>Alquiler maquinaria y equipo.</t>
  </si>
  <si>
    <t>FONDO EDUCATIVO MUNICIPAL</t>
  </si>
  <si>
    <t>Aporte 1% en contratación</t>
  </si>
  <si>
    <t>FONDO MUNICIPAL PARA EL MANEJO DE LOS SERVICIOS PUBLICOS</t>
  </si>
  <si>
    <t>OFICINA ADMINISTRATIVA ESPECIAL DE SERVICIOS PUBLICOS</t>
  </si>
  <si>
    <t>Servicio de Acueducto</t>
  </si>
  <si>
    <t>Conexiones acueductos</t>
  </si>
  <si>
    <t>Servicio de Alcantarillado</t>
  </si>
  <si>
    <t>Conexiones Alcantarillados</t>
  </si>
  <si>
    <t>Aseo y recoleccion de basuras</t>
  </si>
  <si>
    <t>Intereses sobre servicios públicos</t>
  </si>
  <si>
    <t>Otros ingresos</t>
  </si>
  <si>
    <t>PRESUPUESTO DE GASTOS</t>
  </si>
  <si>
    <t>CONCEJO</t>
  </si>
  <si>
    <t>SERVICIOS PERSONALES</t>
  </si>
  <si>
    <t>Sueldo personal de nómina</t>
  </si>
  <si>
    <t>Prima de Navidad</t>
  </si>
  <si>
    <t>Prima de vacaciones</t>
  </si>
  <si>
    <t>Indemnización vacaciones</t>
  </si>
  <si>
    <t>Honorarios concejales</t>
  </si>
  <si>
    <t>Subsidio transporte concejales</t>
  </si>
  <si>
    <t>Cesantías</t>
  </si>
  <si>
    <t>SUMAN</t>
  </si>
  <si>
    <t>GASTOS GENERALES</t>
  </si>
  <si>
    <t>Gastos, Viajes Comunicación transporte</t>
  </si>
  <si>
    <t>Compra de equipo</t>
  </si>
  <si>
    <t>Materiales y Suministros</t>
  </si>
  <si>
    <t>Impresos y Publicaciones</t>
  </si>
  <si>
    <t>Mantenimiento y Aseguros</t>
  </si>
  <si>
    <t xml:space="preserve">Cursos, capacitación seminarios y otros </t>
  </si>
  <si>
    <t>Organización Foros y otros</t>
  </si>
  <si>
    <t>Pago Servicios Públicos</t>
  </si>
  <si>
    <t>Pago FENACON</t>
  </si>
  <si>
    <t>Pago suscripciones periodicos y revistas</t>
  </si>
  <si>
    <t>Seguro de vida concejales</t>
  </si>
  <si>
    <t>APORTES</t>
  </si>
  <si>
    <t>Aporte ley 100 y demas aportes legales</t>
  </si>
  <si>
    <t xml:space="preserve">Aportes Cajas de Compensación </t>
  </si>
  <si>
    <t>TOTAL CONCEJO</t>
  </si>
  <si>
    <t>PERSONERIA</t>
  </si>
  <si>
    <t>Sueldo personal nómina</t>
  </si>
  <si>
    <t>Prima Vacacional</t>
  </si>
  <si>
    <t>Supernumerario vacaciones</t>
  </si>
  <si>
    <t xml:space="preserve"> GASTOS GENERALES</t>
  </si>
  <si>
    <t>Compra de Equipo</t>
  </si>
  <si>
    <t>Materiales y suministros</t>
  </si>
  <si>
    <t>Impresos y publicaciones</t>
  </si>
  <si>
    <t>Mantenimiento y aseguros</t>
  </si>
  <si>
    <t>Viáticos</t>
  </si>
  <si>
    <t>Gastos de viajes, comunicacion y transporte</t>
  </si>
  <si>
    <t>Cursos capacitacion, seminarios y otros</t>
  </si>
  <si>
    <t>Asociacion personeros de Cundinamraca</t>
  </si>
  <si>
    <t>Seguro de vida</t>
  </si>
  <si>
    <t>Pago servicios públicos</t>
  </si>
  <si>
    <t>TOTAL PERSONERIA</t>
  </si>
  <si>
    <t>SECRETARIA DE HACIENDA</t>
  </si>
  <si>
    <t xml:space="preserve"> SERVICIOS PERSONALES</t>
  </si>
  <si>
    <t>Prima de navidad</t>
  </si>
  <si>
    <t>TRANSFERENCIAS</t>
  </si>
  <si>
    <t>Pago aportes régimen obligatorio (salud, pensión, riesgos profesionales)</t>
  </si>
  <si>
    <t>Aportes Cajas de Compensación y demás</t>
  </si>
  <si>
    <t>Federación de Municipios</t>
  </si>
  <si>
    <t>CORPOGUAVIO</t>
  </si>
  <si>
    <t>TOTAL SECRETARIA DE HACIENDA</t>
  </si>
  <si>
    <t>SECRETARIA GENERAL Y DE GOBIERNO</t>
  </si>
  <si>
    <t>Sueldo Personal Nómina</t>
  </si>
  <si>
    <t>Prima de Vacaciones</t>
  </si>
  <si>
    <t>SECR. PLANEACION Y OBRAS PUBLICAS</t>
  </si>
  <si>
    <t>TOTAL SECR. PLAN. OBRAS PUB.</t>
  </si>
  <si>
    <t>SECRETARIA DESARROLLO ECONÓMICO Y COMUNITARIO</t>
  </si>
  <si>
    <t>Sueldo personal de Nómina</t>
  </si>
  <si>
    <t>TOTAL SECR. DESAR. ECONOMICO</t>
  </si>
  <si>
    <t>CASA DE LA CULTURA</t>
  </si>
  <si>
    <t>Pago Instructor de Musica (salarios,seguridad,parafiscales)</t>
  </si>
  <si>
    <t>TOTAL CASA DE LA CULTURA</t>
  </si>
  <si>
    <t>DESPACHO DEL ALCALDE</t>
  </si>
  <si>
    <t>Bonificacion Alcalde</t>
  </si>
  <si>
    <t>Honorarios</t>
  </si>
  <si>
    <t>Servicios Técnicos</t>
  </si>
  <si>
    <t>Seguros previalcaldias y polizas</t>
  </si>
  <si>
    <t>Gastos de viaje, comunicación y Transporte</t>
  </si>
  <si>
    <t>Arrendamientos</t>
  </si>
  <si>
    <t xml:space="preserve">Pagos Avaluos </t>
  </si>
  <si>
    <t>Inhumación cadáveres</t>
  </si>
  <si>
    <t>Supernumerarios</t>
  </si>
  <si>
    <t>Pago Pólizas de seguro de vida Alcalde</t>
  </si>
  <si>
    <t xml:space="preserve">Dotación personal </t>
  </si>
  <si>
    <t>Sentencias y conciliaciones</t>
  </si>
  <si>
    <t>Impuesto vehicular</t>
  </si>
  <si>
    <t>TOTAL DESPACHO DEL ALCALDE</t>
  </si>
  <si>
    <t>FONDO TERRITORIAL DE PENSIONES Y CESANTIAS</t>
  </si>
  <si>
    <t>Mesadas Pensionales</t>
  </si>
  <si>
    <t>Mesada Adicional Pensiones mes de Junio</t>
  </si>
  <si>
    <t>Auxilios Funerarios</t>
  </si>
  <si>
    <t>Cesantias</t>
  </si>
  <si>
    <t>OFICINA DE SERVICIOS PUBLICOS</t>
  </si>
  <si>
    <t>Intereses de Cesantías</t>
  </si>
  <si>
    <t>TOTAL OFICINA SERVICIOS PUBLICOS</t>
  </si>
  <si>
    <t>TOTAL GASTOS DE FUNCIONAMIENTO</t>
  </si>
  <si>
    <t>GASTOS DE INVERSION</t>
  </si>
  <si>
    <t>INVERSION MUNICIPAL</t>
  </si>
  <si>
    <t>INVERSION DIRECTA</t>
  </si>
  <si>
    <t>SECTOR EDUCACION</t>
  </si>
  <si>
    <t>Subsidio de transporte escolar</t>
  </si>
  <si>
    <t>Construcción,adecuación y mantenimiento Infraestructura educativa</t>
  </si>
  <si>
    <t>TOTAL</t>
  </si>
  <si>
    <t>SECTOR SALUD</t>
  </si>
  <si>
    <t>Salud pública</t>
  </si>
  <si>
    <t>Régimen Subsidiado Continuidad</t>
  </si>
  <si>
    <t>Régimen Subsidiado Ampliación</t>
  </si>
  <si>
    <t>SECTOR AGUA POTABLE Y SANEAMIENTO BASICO</t>
  </si>
  <si>
    <t>Mantenimiento, dotación planta de tratamiento aguas residuales</t>
  </si>
  <si>
    <t>Mantenimiento, dotación y potabilización  planta de tratamiento agua potable</t>
  </si>
  <si>
    <t xml:space="preserve">Construcción y ampliación redes de  Acueductos </t>
  </si>
  <si>
    <t>Mantenimiento y reparación de acueductos</t>
  </si>
  <si>
    <t>Construcción y ampliación redes de  Alcantarillados aguas residuales y pluvial</t>
  </si>
  <si>
    <t>Mantenimiento y reparación de alcantarillados</t>
  </si>
  <si>
    <t>Programa de letrinización.</t>
  </si>
  <si>
    <t xml:space="preserve">Conservación, reforestación y compra de lote para la protección de microcuencas </t>
  </si>
  <si>
    <t>Matadero Municipal</t>
  </si>
  <si>
    <t>SECTOR CULTURA Y DEPORTES</t>
  </si>
  <si>
    <t>CULTURA</t>
  </si>
  <si>
    <t xml:space="preserve">Escuelas formación cultural y artística </t>
  </si>
  <si>
    <t>Dotación casa de la cultura</t>
  </si>
  <si>
    <t>Apoyo a eventos culturales</t>
  </si>
  <si>
    <t>Programas de fomento, innovación y producción artística y cultural</t>
  </si>
  <si>
    <t>Apoyo banda municipal</t>
  </si>
  <si>
    <t>DEPORTES</t>
  </si>
  <si>
    <t>Construcción, ampliación de escenarios deportivos y recreativos</t>
  </si>
  <si>
    <t>Mantenimiento y adecuación escenarios deportivos</t>
  </si>
  <si>
    <t>Programas de promoción e inversión en deportes</t>
  </si>
  <si>
    <t>Apoyo a eventos deportivos</t>
  </si>
  <si>
    <t>Dotación implementos deportivos establecimientos educativos</t>
  </si>
  <si>
    <t>Escuelas de formación deportiva</t>
  </si>
  <si>
    <t>OTROS SECTORES</t>
  </si>
  <si>
    <t>Atención a Desplazados</t>
  </si>
  <si>
    <t>Fortalecimiento Institucional.</t>
  </si>
  <si>
    <t>Prevención y atención de desastres.</t>
  </si>
  <si>
    <t>Programa Proteccion social adulto mayor</t>
  </si>
  <si>
    <t>Equipamento Municipal</t>
  </si>
  <si>
    <t>Apoyo a la Población discapacitada</t>
  </si>
  <si>
    <t>Programas de vivienda de interes social</t>
  </si>
  <si>
    <t>Programa de asistencia tecnica agropecuaria</t>
  </si>
  <si>
    <t>Mantenimiento de caminos veredales</t>
  </si>
  <si>
    <t>Apertura y mejoramiento vías rurales</t>
  </si>
  <si>
    <t>Extensión y mantenimiento redes electricas</t>
  </si>
  <si>
    <t>Fondo de solidaridad de servicios públicos</t>
  </si>
  <si>
    <t>Estratificación Socioeconómica Rural</t>
  </si>
  <si>
    <t>Financiación y/o coofinanciación proyectos de desarrollo rural agropecuario</t>
  </si>
  <si>
    <t>SUBTOTAL</t>
  </si>
  <si>
    <t>JUSTICIA</t>
  </si>
  <si>
    <t>Adecuación Sala de audiencias nueva justicia penal acusatoria</t>
  </si>
  <si>
    <t>Pago Inspectores de Policía Municipales ( Salarios,prestaciones, seguridad social, parafiscales)</t>
  </si>
  <si>
    <t>ALIMENTACION ESCOLAR</t>
  </si>
  <si>
    <t>Desayuno Escolar</t>
  </si>
  <si>
    <t>Personal vinculado a la preparación de alimentos</t>
  </si>
  <si>
    <t>Compra de alimentos</t>
  </si>
  <si>
    <t>Compra de equipo de comedor y cocina</t>
  </si>
  <si>
    <t>Subsidio de refrigerio reforzado</t>
  </si>
  <si>
    <t>Transporte  Alimentos</t>
  </si>
  <si>
    <t>INVER. DIRECTA RECURSOS LIBRE DESTINACION Y PROPIOS</t>
  </si>
  <si>
    <t xml:space="preserve">Festival de la cultura </t>
  </si>
  <si>
    <t>Festival Deportivo</t>
  </si>
  <si>
    <t>Embellecimiento, Pavimentación, mejoramiento y/o rehabilitación vias urbanas</t>
  </si>
  <si>
    <t>Construción, adecuación restaurantes escolares</t>
  </si>
  <si>
    <t>Apoyo y seguridad a la población estudiantil</t>
  </si>
  <si>
    <t>Acceso medicamentos</t>
  </si>
  <si>
    <t>Subsidio en salud población vulnerable, nivel 1 y 2</t>
  </si>
  <si>
    <t>Preinversión y coofinanciación</t>
  </si>
  <si>
    <t>Apoyo y mantenimiento maquinaria agrícola</t>
  </si>
  <si>
    <t>Apoyo programas de seguridad ciudadana, y fuerza pública</t>
  </si>
  <si>
    <t>Apoyo adulto mayor</t>
  </si>
  <si>
    <t>Apoyo cuerpo de Bomberos</t>
  </si>
  <si>
    <t>Junta defensora de animales</t>
  </si>
  <si>
    <t>Jornales y generación empleo</t>
  </si>
  <si>
    <t>Apoyo Defensa civil</t>
  </si>
  <si>
    <t>Gastos Electorales</t>
  </si>
  <si>
    <t>Adecuación servicios públicos lotes y vivienda interés social.</t>
  </si>
  <si>
    <t>Ayuda a beneficiarios Vivienda de Interés Social.</t>
  </si>
  <si>
    <t>Erogaciones Convenio ICA</t>
  </si>
  <si>
    <t>Tasa Sistema de Seguridad Social en Salud</t>
  </si>
  <si>
    <t>Actualización E.O.T</t>
  </si>
  <si>
    <t>Coofinanciación concurso carrera administrativa</t>
  </si>
  <si>
    <t>Ración Presos</t>
  </si>
  <si>
    <t>RESUMEN</t>
  </si>
  <si>
    <t>TOTAL GASTOS INVERSION RECURSOS PROPIOS</t>
  </si>
  <si>
    <t>Mejoramiento y mantenimiento parques</t>
  </si>
  <si>
    <t>Olimpiadas Medineras Basicas del Conocimiento (Acuerdo 026-2005).</t>
  </si>
  <si>
    <t xml:space="preserve">Aguinaldo niño pobre </t>
  </si>
  <si>
    <t>TOTAL OTROS SECTORES</t>
  </si>
  <si>
    <t>Prevención  y atención de  desastres</t>
  </si>
  <si>
    <t>Cuotas partes y bonos pensionales</t>
  </si>
  <si>
    <t>Apoyo niñez desamparada</t>
  </si>
  <si>
    <t>Alumbrado publico</t>
  </si>
  <si>
    <t>TOTAL PRESUPUESTO DE INGRESOS.</t>
  </si>
  <si>
    <t>Ampliacion y Construcción Porquerizas</t>
  </si>
  <si>
    <t>Mejoramiento Embellecimiento Urbano, parques y plazas públicas</t>
  </si>
  <si>
    <t>Gastos Fondo Educativo Municipal y Sena</t>
  </si>
  <si>
    <t>Creacion Concejo Municipal de juventud</t>
  </si>
  <si>
    <t xml:space="preserve">Apoyo Madres Comunitarias  </t>
  </si>
  <si>
    <t>Cofinanciación apoyo semilleros de ciencia y tecnologia</t>
  </si>
  <si>
    <t>Compra Lote, tratamiento y disposición final residuos solidos</t>
  </si>
  <si>
    <t xml:space="preserve">Mantenimiento y Mejoramiento Alumbrado Publico </t>
  </si>
  <si>
    <t>Pago Comisaria de Familia ( Salarios,prestaciones, seguridad social, parafiscales, Programas Apoyo Niñez y Adolecencia)</t>
  </si>
  <si>
    <t xml:space="preserve">Preinversion  y cofinanciación proyectos </t>
  </si>
  <si>
    <t>PROYECTO DE ACUERDO</t>
  </si>
  <si>
    <t>ANEXO No. 1 PRESUPUESTO 2008</t>
  </si>
  <si>
    <t>ULTIMA DOCEAVA 2007</t>
  </si>
  <si>
    <t>COMPES 110</t>
  </si>
  <si>
    <t>ANEXO 6</t>
  </si>
  <si>
    <t>ONCE DOCEAVAS 2008</t>
  </si>
  <si>
    <t>TOTAL EDUCACION</t>
  </si>
  <si>
    <t>EDUCACION</t>
  </si>
  <si>
    <t>SALUD</t>
  </si>
  <si>
    <t>SALUD PUBLICA</t>
  </si>
  <si>
    <t>COMPES 112</t>
  </si>
  <si>
    <t>ANEXO 4</t>
  </si>
  <si>
    <t>AJUSTE 11/12 del 2007</t>
  </si>
  <si>
    <t>ANEXO 12</t>
  </si>
  <si>
    <t>TOTAL SALUD PUBLICA</t>
  </si>
  <si>
    <t>COMPES 111</t>
  </si>
  <si>
    <t>REGIMEN SUBSIDIADO - CONTINUIDAD</t>
  </si>
  <si>
    <t>TOTAL CONTINUIDAD</t>
  </si>
  <si>
    <t>REGIMEN SUBSIDIADO - AMPLIACION</t>
  </si>
  <si>
    <t>TOTAL AMPLIACION</t>
  </si>
  <si>
    <t>ANEXO 8</t>
  </si>
  <si>
    <t>ANEXO 32</t>
  </si>
  <si>
    <t>COMPES 108</t>
  </si>
  <si>
    <t>ANEXO 16</t>
  </si>
  <si>
    <t>TOTAL ALIMENTACION ESCOLAR</t>
  </si>
  <si>
    <t>ANEXO 5</t>
  </si>
  <si>
    <t>80% ONCE DOCEAVAS 2008</t>
  </si>
  <si>
    <t>ANEXO 29</t>
  </si>
  <si>
    <t>ANEXO 17</t>
  </si>
  <si>
    <t>CRECIMIENTO PIB 4%</t>
  </si>
  <si>
    <t>DIFERENCIA CONPES 108</t>
  </si>
  <si>
    <t>ANEXO 26</t>
  </si>
  <si>
    <t>TOTAL LIBRE DESTINACION</t>
  </si>
  <si>
    <t>AGUA POTABLE</t>
  </si>
  <si>
    <t>TOTAL AGUA POTABLE</t>
  </si>
  <si>
    <t>ANEXO 23</t>
  </si>
  <si>
    <t>DEPORTE</t>
  </si>
  <si>
    <t>TOTAL DEPORTE</t>
  </si>
  <si>
    <t>TOTAL CULTURA</t>
  </si>
  <si>
    <t>LIBRE INVERSION</t>
  </si>
  <si>
    <t>TOTAL LIBRE INVERSION</t>
  </si>
  <si>
    <t>GRAN TOTAL PRESUPUESTO 2008</t>
  </si>
  <si>
    <t>TOTAL SECTOR SALUD</t>
  </si>
  <si>
    <t>PRESUPUESTO ACUERDO 012/2007</t>
  </si>
  <si>
    <t>DIFERENCIA</t>
  </si>
  <si>
    <t>LIBRE DESTINACION - FUNCIONAMIENTO</t>
  </si>
  <si>
    <t>ANEXO 19</t>
  </si>
  <si>
    <t>Compra de equipo y adecuación biblioteca municipal</t>
  </si>
  <si>
    <t>Dotación, material didáctico, textos, pupitres, equipos audiovisuales y de computo.</t>
  </si>
  <si>
    <t>Apoyo a Programas Sociales (Juntos)</t>
  </si>
  <si>
    <t>Programa Apoyo Niñez y Adolencia (Ludotecas y centro de vida censorial)</t>
  </si>
  <si>
    <t>Servicio de la deuda - Vías Urbanas</t>
  </si>
  <si>
    <t>TOTAL INVERSION SGP</t>
  </si>
  <si>
    <t>TOTAL PRESUPUESTO</t>
  </si>
  <si>
    <t>Libre Inversión</t>
  </si>
  <si>
    <t>Libre Destinación</t>
  </si>
  <si>
    <t>Agua Potable</t>
  </si>
  <si>
    <t>Deporte</t>
  </si>
  <si>
    <t>Cultura</t>
  </si>
  <si>
    <t>PROYECCION PAGO NOMINA MENSUAL</t>
  </si>
  <si>
    <t>INCREMENTO</t>
  </si>
  <si>
    <t>VR. NOMINA</t>
  </si>
  <si>
    <t>AP. SALUD</t>
  </si>
  <si>
    <t>AP.PENSION</t>
  </si>
  <si>
    <t>APORTE</t>
  </si>
  <si>
    <t>CESANTIAS</t>
  </si>
  <si>
    <t xml:space="preserve"> PRIMA</t>
  </si>
  <si>
    <t>Doceav.</t>
  </si>
  <si>
    <t xml:space="preserve">PRIMA </t>
  </si>
  <si>
    <t>DOCEAVA</t>
  </si>
  <si>
    <t>ANO 2007 ( INCREMENTO 5,5%)</t>
  </si>
  <si>
    <t>AÑO 2007</t>
  </si>
  <si>
    <t>2008 6%</t>
  </si>
  <si>
    <t>AÑO</t>
  </si>
  <si>
    <t>EMPLEADO</t>
  </si>
  <si>
    <t>PATRONO</t>
  </si>
  <si>
    <t>A.R.P.</t>
  </si>
  <si>
    <t>SENA</t>
  </si>
  <si>
    <t>ICBF</t>
  </si>
  <si>
    <t>ESAP</t>
  </si>
  <si>
    <t>ESC.INST.TEC</t>
  </si>
  <si>
    <t>CAJAS COMP.</t>
  </si>
  <si>
    <t>VACACIONES</t>
  </si>
  <si>
    <t>P.vaca</t>
  </si>
  <si>
    <t>NAVIDAD</t>
  </si>
  <si>
    <t>PRIMA NAVIDAD</t>
  </si>
  <si>
    <t>CONCEJO MUNICIPAL</t>
  </si>
  <si>
    <t>CARGO</t>
  </si>
  <si>
    <t>AUX. TRANSP</t>
  </si>
  <si>
    <t>MENDEZ GUZMAN MYRIAM ANGELICA</t>
  </si>
  <si>
    <t>SECRETARIA</t>
  </si>
  <si>
    <t>PERSONERIA MUNICIPAL</t>
  </si>
  <si>
    <t>GOMEZ ESPITIA JUAN DE JESUS</t>
  </si>
  <si>
    <t>PERSONERO</t>
  </si>
  <si>
    <t>BERMUDEZ BELTRAN MARTHA</t>
  </si>
  <si>
    <t>SECRETARIO</t>
  </si>
  <si>
    <t>SEC. DESARROLLO</t>
  </si>
  <si>
    <t>SECRETARIA DE DESARROLLO ECONOMICO</t>
  </si>
  <si>
    <t>ALVARADO HIDALGO MARTHA</t>
  </si>
  <si>
    <t>AUX. ADTIVO</t>
  </si>
  <si>
    <t>ACOSTA AGUILERA ANEIDA</t>
  </si>
  <si>
    <t>LOPEZ DAZA ELVER AUGUSTO</t>
  </si>
  <si>
    <t>SEC. DESPACHO</t>
  </si>
  <si>
    <t>RODRIGUEZ CANO ROCIO</t>
  </si>
  <si>
    <t>SECR. DESPACHO</t>
  </si>
  <si>
    <t>GARZON IVAN</t>
  </si>
  <si>
    <t>PEÑA NERY</t>
  </si>
  <si>
    <t>RUIZ MAHECHA GONZALO E.</t>
  </si>
  <si>
    <t>SEC. PLANEACION</t>
  </si>
  <si>
    <t>SECRETARIA DE PLANEACION</t>
  </si>
  <si>
    <t>GUEVARA GARCIA NYDIA C.</t>
  </si>
  <si>
    <t>LOPEZ SANTOS GERMAN</t>
  </si>
  <si>
    <t>RUIZ BELTRAN ALBEIRO</t>
  </si>
  <si>
    <t>PIÑEROS ALFONSO</t>
  </si>
  <si>
    <t>AMORTEGUI JAVIER</t>
  </si>
  <si>
    <t>TECNICO</t>
  </si>
  <si>
    <t>SEC. GOBIERNO</t>
  </si>
  <si>
    <t>SECRETARIA DE GOBIERNO</t>
  </si>
  <si>
    <t>VERGARA GARZON CLARA M.</t>
  </si>
  <si>
    <t>MARTINEZ SANCHEZ LIDIA Y.</t>
  </si>
  <si>
    <t>BEJARANO BERMUDEZ LUZ M.</t>
  </si>
  <si>
    <t>LOPEZ LUZ MARINA</t>
  </si>
  <si>
    <t>AUX. SER. GENER.</t>
  </si>
  <si>
    <t>LOPEZ VIDAL</t>
  </si>
  <si>
    <t>INSTRUCTOR DE MUSICA</t>
  </si>
  <si>
    <t>ORTIZ QUIMBAY JOSE M.</t>
  </si>
  <si>
    <t>INSTR.</t>
  </si>
  <si>
    <t>ALCALDIA</t>
  </si>
  <si>
    <t>DESPACHO ALCALDE</t>
  </si>
  <si>
    <t>PIÑEROS MARTA DARIO E.</t>
  </si>
  <si>
    <t>ALCALDE</t>
  </si>
  <si>
    <t>ALFONSO ACOSTA GILMA Y.</t>
  </si>
  <si>
    <t>VEGA HIDALGO WILLIAM</t>
  </si>
  <si>
    <t>SERVICIOS PUBLICOS</t>
  </si>
  <si>
    <t>SALINAS PARRA ZULLY D.</t>
  </si>
  <si>
    <t>VACA EIDA</t>
  </si>
  <si>
    <t>RODRIGUEZ HERNAN</t>
  </si>
  <si>
    <t>GARZON JESUS</t>
  </si>
  <si>
    <t>PEÑA JORGE</t>
  </si>
  <si>
    <t>BARBOSA EDUARDO</t>
  </si>
  <si>
    <t>RODRIGUEZ ANTONIO</t>
  </si>
  <si>
    <t>TOTAL GENERAL ADMON CENTRAL</t>
  </si>
  <si>
    <t>PENSIONADOS</t>
  </si>
  <si>
    <t>ACOSTA MARIA FELIZA</t>
  </si>
  <si>
    <t>PENSIONADA</t>
  </si>
  <si>
    <t>BEJARANO BABATIVA PASTOR</t>
  </si>
  <si>
    <t>PENSIONADO</t>
  </si>
  <si>
    <t>CHAVEZ EMMA</t>
  </si>
  <si>
    <t>LINARES SOLEDAD</t>
  </si>
  <si>
    <t>MONTEALEGRA JOSE</t>
  </si>
  <si>
    <t>MORALES DE MENDEZ EPIMENIA</t>
  </si>
  <si>
    <t>TOTAL PENSIONADOS</t>
  </si>
  <si>
    <t>INCREMENTO 2008 6%</t>
  </si>
  <si>
    <t>VALOR AÑO</t>
  </si>
  <si>
    <t>A.SALUD EMPLEADO</t>
  </si>
  <si>
    <t>A. SALUD PATRONO</t>
  </si>
  <si>
    <t>A. PENSION EMPLEADO</t>
  </si>
  <si>
    <t>A. PENSION PATRONO</t>
  </si>
  <si>
    <t>INPECTORES</t>
  </si>
  <si>
    <t>DUEÑAS L. GIL MARIA</t>
  </si>
  <si>
    <t>INSP. POLICIA URB.</t>
  </si>
  <si>
    <t>ODILIA RUIZ CAMACHO</t>
  </si>
  <si>
    <t>INSP. POLICIA RURAL.</t>
  </si>
  <si>
    <t>DIAZ HECTOR</t>
  </si>
  <si>
    <t>DAZA PEDRO</t>
  </si>
  <si>
    <t>GARZON ELIZABETH</t>
  </si>
  <si>
    <t>BACCA MIRIAM</t>
  </si>
  <si>
    <t>COMISARIA DE FAMILIA</t>
  </si>
  <si>
    <t>JOSE ALBERTO HIGUERA A.</t>
  </si>
  <si>
    <t>COMISARIO</t>
  </si>
  <si>
    <t>NEYDA EDITH CHAVEZ R.</t>
  </si>
  <si>
    <t>AUXILIAR</t>
  </si>
  <si>
    <t>INDEM VAC</t>
  </si>
  <si>
    <t>PARTICIPACIONES NACIONALES  SGP</t>
  </si>
  <si>
    <t>RESTAR FUNCIONAMIENTO</t>
  </si>
  <si>
    <t>1- Que mediante el Acuerdo No. 012 de 2007, el Honorable Concejo Municipal expidio el presupuesto general de ingresos y egresos del Municipio de Medina para la vigencia 2008.</t>
  </si>
  <si>
    <t>TOTAL A RESTAR</t>
  </si>
  <si>
    <t>Copa Internacional de Coleo</t>
  </si>
  <si>
    <t>Seguro de vida de concejales</t>
  </si>
  <si>
    <t>ACTA DE GOBIERNO No. 001 - ACUERDO DE PRESUPUESTO 2008</t>
  </si>
  <si>
    <t>Para constancia se firma en Medina Cundinamarca, a los veinte (20) dias del mes de Febrero de 2008, por los que en ella intervinieron, siendo las 6:00 p.m.</t>
  </si>
  <si>
    <t>NIDIA CAROLINA GUEVARA GARCIA                                                       ROCIO RODRIGUEZ CANO</t>
  </si>
  <si>
    <t>Secretaria de Planeación                                                                              Secretaria de Hacienda</t>
  </si>
  <si>
    <t>ELVER AUGUSTO LOPEZ DAZA                                                                ZULLY DISNEY SALINAS PARRA</t>
  </si>
  <si>
    <t xml:space="preserve">Secretario de Desarrollo Económico                                                            Jefe de Servicios Públicos </t>
  </si>
  <si>
    <r>
      <t xml:space="preserve">DARIO ERNESTO PIÑEROS MARTÁ                             </t>
    </r>
    <r>
      <rPr>
        <b/>
        <sz val="12"/>
        <rFont val="Century"/>
        <family val="1"/>
      </rPr>
      <t>CLARA MARIA VERGARA GARZON</t>
    </r>
  </si>
  <si>
    <t>Alcalde Municipal                                                                                        Secretaria General y de Gobierno</t>
  </si>
  <si>
    <t xml:space="preserve">ANEXO No. 1 PRESUPUESTO 2008 </t>
  </si>
  <si>
    <t>Apoyo Madres Cabeza de Hogar</t>
  </si>
  <si>
    <t>Festival Campesino</t>
  </si>
  <si>
    <t>Creacion Consejo Municipal de juventudes</t>
  </si>
  <si>
    <t>Ingresos  Corrientes de Libre Destinación</t>
  </si>
  <si>
    <t>Fortalecimiento Institucional</t>
  </si>
  <si>
    <t>TOTAL PRESUPUESTO 2008</t>
  </si>
  <si>
    <r>
      <rPr>
        <b/>
        <sz val="12"/>
        <rFont val="Arial"/>
        <family val="2"/>
      </rPr>
      <t>ARTICULO SEGUNDO:</t>
    </r>
    <r>
      <rPr>
        <sz val="12"/>
        <rFont val="Arial"/>
        <family val="2"/>
      </rPr>
      <t xml:space="preserve"> Ajustese el presupuesto de gastos del Municipio de Medina Cundinamarca, para la vigencia fiscal comprendida, entre el primero (1o.) de enero y el treinta y uno (31) de diciembre de dos mil ocho (2,008) en la suma de: TRES MIL CUATROCIENTOS  NOVENTA   Y   OCHO    MILLONES  CUATROCIENTOS   SESENTA  MIL TREINTA Y OCHO PESOS M/CTE  ($ 3.498.460.038.oo), Y  ADICIONA LA ULTIMA DOCEAVA DEL AÑO 2007 EN LA SUMA DE: DOSCIENTOS TREINTA Y OCHO MILLONES CIENTO NOVENTA Y TRES MIL QUINIENTOS CINCUENTA Y SIETE ($ 238.193.557), PARA UN TOTAL DE: TRES MIL SETECIENTOS TREINTA Y SEIS  MILLONES  SEISCIENTOS CINCUENTA Y TRES MIL QUINIENTOS NOVENTA Y CINCO PESOS MCTE ($ 3.736.653.595).
</t>
    </r>
  </si>
  <si>
    <r>
      <t>2 -</t>
    </r>
    <r>
      <rPr>
        <sz val="12"/>
        <color indexed="8"/>
        <rFont val="Arial"/>
        <family val="2"/>
      </rPr>
      <t xml:space="preserve"> Que el Consejo Nacional de Política Económica y Social, mediante la expedición del documento CONPES  108, fijo la ultima doceava del año 2007 y mediante  CONPES 110, 111 y 112, ajusto  el presupuesto para la vigencia 2008. </t>
    </r>
  </si>
  <si>
    <r>
      <rPr>
        <b/>
        <sz val="11"/>
        <rFont val="Arial"/>
        <family val="2"/>
      </rPr>
      <t>3</t>
    </r>
    <r>
      <rPr>
        <sz val="11"/>
        <rFont val="Arial"/>
        <family val="2"/>
      </rPr>
      <t>. Que es deber del Honorable Concejo Municipal, ajustar dicho presupuesto de acuerdo a las normas anteriormente  citadas.</t>
    </r>
  </si>
  <si>
    <r>
      <t>4-</t>
    </r>
    <r>
      <rPr>
        <sz val="11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Que el presupuesto Municipal se debe distribuir de acuerdo y  mediante los criterios establecidos en la ley 715 de 2001.</t>
    </r>
  </si>
  <si>
    <r>
      <rPr>
        <b/>
        <sz val="12"/>
        <rFont val="Arial"/>
        <family val="2"/>
      </rPr>
      <t>ARTICULO PRIMERO:</t>
    </r>
    <r>
      <rPr>
        <sz val="12"/>
        <rFont val="Arial"/>
        <family val="2"/>
      </rPr>
      <t xml:space="preserve"> Ajustese el presupuesto de ingresos del Municipio de Medina Cundinamarca, para la vigencia fiscal comprendida, entre el primero (1o.) de enero y el treinta y uno (31) de diciembre de dos mil ocho (2,008) en la suma de: TRES MIL CUATROCIENTOS  NOVENTA   Y   OCHO    MILLONES  CUATROCIENTOS   SESENTA  MIL TREINTA Y OCHO PESOS M/CTE  ($ 3.498.460.038.oo), Y  ADICIONA LA ULTIMA DOCEAVA DEL AÑO 2007 EN LA SUMA DE: DOSCIENTOS TREINTA Y OCHO MILLONES CIENTO NOVENTA Y TRES MIL QUINIENTOS CINCUENTA Y SIETE ($ 238.193.557), PARA UN TOTAL DE: TRES MIL SETECIENTOS TREINTA Y SEIS  MILLONES  SEISCIENTOS CINCUENTA Y TRES MIL QUINIENTOS NOVENTA Y CINCO PESOS MCTE ($ 3.736.653.595).
</t>
    </r>
  </si>
  <si>
    <t>Subsidios</t>
  </si>
  <si>
    <t>Equipamiento Municipal</t>
  </si>
  <si>
    <t>PROYECTO DE ACUERDO N° 004 DE 2008</t>
  </si>
  <si>
    <t xml:space="preserve">                           </t>
  </si>
  <si>
    <t xml:space="preserve">                        PRESIDENTE</t>
  </si>
  <si>
    <t xml:space="preserve">                              CARMEN ALICIA CÓRDOBA</t>
  </si>
  <si>
    <t xml:space="preserve">                                             SECRETARIA</t>
  </si>
  <si>
    <t xml:space="preserve">   JOSÉ ARQUÍMEDES QUEVEDO</t>
  </si>
  <si>
    <t>de Marzo de Dos Mil Ocho (2008)</t>
  </si>
  <si>
    <t>Dado en el Recinto del Honorable Concejo Municipal a los doce (12) dias del mes</t>
  </si>
  <si>
    <r>
      <t>2 -</t>
    </r>
    <r>
      <rPr>
        <sz val="12"/>
        <color indexed="8"/>
        <rFont val="Arial Narrow"/>
        <family val="2"/>
      </rPr>
      <t xml:space="preserve"> Que el Consejo Nacional de Política Económica y Social, mediante la expedición del documento CONPES  108, fijo la ultima doceava del año 2007 y mediante  CONPES 110, 111 y 112, ajusto  el presupuesto para la vigencia 2008. </t>
    </r>
  </si>
  <si>
    <r>
      <t>3. Que es deber del Honorable Co</t>
    </r>
    <r>
      <rPr>
        <sz val="10"/>
        <rFont val="Arial"/>
        <family val="0"/>
      </rPr>
      <t>ncejo Municipal, ajustar dicho presupuesto de acuerdo a las normas anteriormente  citadas.</t>
    </r>
  </si>
  <si>
    <r>
      <t>4-</t>
    </r>
    <r>
      <rPr>
        <sz val="11"/>
        <color indexed="8"/>
        <rFont val="Arial Narrow"/>
        <family val="2"/>
      </rPr>
      <t xml:space="preserve"> </t>
    </r>
    <r>
      <rPr>
        <sz val="12"/>
        <color indexed="8"/>
        <rFont val="Arial Narrow"/>
        <family val="2"/>
      </rPr>
      <t>Que el presupuesto Municipal se debe distribuir de acuerdo y  mediante los criterios establecidos en la ley 715 de 2001.</t>
    </r>
  </si>
  <si>
    <r>
      <rPr>
        <sz val="10"/>
        <rFont val="Arial"/>
        <family val="0"/>
      </rPr>
      <t xml:space="preserve">ARTICULO PRIMERO: Ajustese el presupuesto de ingresos del Municipio de Medina Cundinamarca, para la vigencia fiscal comprendida, entre el primero (1o.) de enero y el treinta y uno (31) de diciembre de dos mil ocho (2,008) en la suma de: TRES MIL CUATROCIENTOS  NOVENTA   Y   OCHO    MILLONES  CUATROCIENTOS   SESENTA  MIL TREINTA Y OCHO PESOS M/CTE  ($ 3.498.460.038.oo), Y  ADICIONA LA ULTIMA DOCEAVA DEL AÑO 2007 EN LA SUMA DE: DOSCIENTOS TREINTA Y OCHO MILLONES CIENTO NOVENTA Y TRES MIL QUINIENTOS CINCUENTA Y SIETE ($ 238.193.557), PARA UN TOTAL DE: TRES MIL SETECIENTOS TREINTA Y SEIS  MILLONES  SEISCIENTOS CINCUENTA Y TRES MIL QUINIENTOS NOVENTA Y CINCO PESOS MCTE ($ 3.736.653.595).
</t>
    </r>
  </si>
  <si>
    <r>
      <t>ARTICULO SEGUNDO: Ajustese el presupuesto de gastos del Municipio de Medina C</t>
    </r>
    <r>
      <rPr>
        <sz val="11"/>
        <color indexed="8"/>
        <rFont val="Arial Narrow"/>
        <family val="2"/>
      </rPr>
      <t xml:space="preserve">undinamarca, para la vigencia fiscal comprendida, entre el primero (1o.) de enero y el treinta y uno (31) de diciembre de dos mil ocho (2,008) en la suma de: TRES MIL CUATROCIENTOS  NOVENTA   Y   OCHO    MILLONES  CUATROCIENTOS   SESENTA  MIL TREINTA Y OCHO PESOS M/CTE  ($ 3.498.460.038.oo), Y  ADICIONA LA ULTIMA DOCEAVA DEL AÑO 2007 EN LA SUMA DE: DOSCIENTOS TREINTA Y OCHO MILLONES CIENTO NOVENTA Y TRES MIL QUINIENTOS CINCUENTA Y SIETE ($ 238.193.557), PARA UN TOTAL DE: TRES MIL SETECIENTOS TREINTA Y SEIS  MILLONES  SEISCIENTOS CINCUENTA Y TRES MIL QUINIENTOS NOVENTA Y CINCO PESOS MCTE ($ 3.736.653.595).
</t>
    </r>
  </si>
  <si>
    <r>
      <t xml:space="preserve">                                </t>
    </r>
    <r>
      <rPr>
        <b/>
        <sz val="16"/>
        <rFont val="Arial Narrow"/>
        <family val="2"/>
      </rPr>
      <t>PUBLIQUESE, COMUNIQUESE Y COMPLASE</t>
    </r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</si>
</sst>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_(&quot;$&quot;* #,##0.00_);_(&quot;$&quot;* \(#,##0.00\);_(&quot;$&quot;* &quot;-&quot;??_);_(@_)"/>
    <numFmt numFmtId="189" formatCode="_(* #,##0.0000_);_(* \(#,##0.0000\);_(* &quot;-&quot;??_);_(@_)"/>
    <numFmt numFmtId="190" formatCode="#,##0.00\ _€"/>
    <numFmt numFmtId="191" formatCode="_-* #,##0.0_-;\-* #,##0.0_-;_-* &quot;-&quot;??_-;_-@_-"/>
    <numFmt numFmtId="192" formatCode="_-* #,##0_-;\-* #,##0_-;_-* &quot;-&quot;??_-;_-@_-"/>
    <numFmt numFmtId="193" formatCode="_-* #,##0.0\ _€_-;\-* #,##0.0\ _€_-;_-* &quot;-&quot;??\ _€_-;_-@_-"/>
    <numFmt numFmtId="194" formatCode="_-* #,##0\ _€_-;\-* #,##0\ _€_-;_-* &quot;-&quot;??\ _€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.0_);_(* \(#,##0.0\);_(* &quot;-&quot;??_);_(@_)"/>
    <numFmt numFmtId="209" formatCode="_(* #,##0_);_(* \(#,##0\);_(* &quot;-&quot;??_);_(@_)"/>
    <numFmt numFmtId="210" formatCode="_ [$$-240A]\ * #,##0_ ;_ [$$-240A]\ * \-#,##0_ ;_ [$$-240A]\ * &quot;-&quot;_ ;_ @_ "/>
    <numFmt numFmtId="211" formatCode="_(* #,##0.000_);_(* \(#,##0.000\);_(* &quot;-&quot;??_);_(@_)"/>
    <numFmt numFmtId="212" formatCode="&quot;$&quot;\ #,##0"/>
    <numFmt numFmtId="213" formatCode="#,##0.00000000"/>
    <numFmt numFmtId="214" formatCode="#,##0.0000000"/>
    <numFmt numFmtId="215" formatCode="#,##0.000000"/>
    <numFmt numFmtId="216" formatCode="#,##0.00000"/>
    <numFmt numFmtId="217" formatCode="#,##0.0000"/>
    <numFmt numFmtId="218" formatCode="#,##0.000"/>
    <numFmt numFmtId="219" formatCode="#,##0.0"/>
    <numFmt numFmtId="220" formatCode="&quot;Sí&quot;;&quot;Sí&quot;;&quot;No&quot;"/>
    <numFmt numFmtId="221" formatCode="&quot;Verdadero&quot;;&quot;Verdadero&quot;;&quot;Falso&quot;"/>
    <numFmt numFmtId="222" formatCode="&quot;Activado&quot;;&quot;Activado&quot;;&quot;Desactivado&quot;"/>
    <numFmt numFmtId="223" formatCode="[$€-2]\ #,##0.00_);[Red]\([$€-2]\ #,##0.00\)"/>
  </numFmts>
  <fonts count="6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43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2"/>
      <name val="Century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sz val="8"/>
      <color indexed="18"/>
      <name val="Arial"/>
      <family val="0"/>
    </font>
    <font>
      <sz val="12"/>
      <color indexed="8"/>
      <name val="Times New Roman"/>
      <family val="0"/>
    </font>
    <font>
      <sz val="9"/>
      <color indexed="8"/>
      <name val="Arial"/>
      <family val="2"/>
    </font>
    <font>
      <sz val="9"/>
      <color indexed="18"/>
      <name val="Arial"/>
      <family val="2"/>
    </font>
    <font>
      <sz val="14"/>
      <name val="Arial Narrow"/>
      <family val="2"/>
    </font>
    <font>
      <b/>
      <sz val="14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b/>
      <sz val="11"/>
      <color indexed="8"/>
      <name val="Arial Narrow"/>
      <family val="2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b/>
      <i/>
      <sz val="12"/>
      <name val="Arial Narrow"/>
      <family val="2"/>
    </font>
    <font>
      <b/>
      <sz val="12"/>
      <name val="Arial Narrow"/>
      <family val="2"/>
    </font>
    <font>
      <i/>
      <sz val="12"/>
      <name val="Arial Narrow"/>
      <family val="2"/>
    </font>
    <font>
      <b/>
      <sz val="12"/>
      <color indexed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4" borderId="0" applyNumberFormat="0" applyBorder="0" applyAlignment="0" applyProtection="0"/>
    <xf numFmtId="0" fontId="28" fillId="16" borderId="1" applyNumberFormat="0" applyAlignment="0" applyProtection="0"/>
    <xf numFmtId="0" fontId="29" fillId="1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3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5" fillId="16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10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24" borderId="0" xfId="0" applyFont="1" applyFill="1" applyBorder="1" applyAlignment="1">
      <alignment horizontal="justify" vertical="justify"/>
    </xf>
    <xf numFmtId="188" fontId="6" fillId="24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right"/>
    </xf>
    <xf numFmtId="0" fontId="5" fillId="24" borderId="0" xfId="0" applyFont="1" applyFill="1" applyAlignment="1">
      <alignment horizontal="justify"/>
    </xf>
    <xf numFmtId="0" fontId="5" fillId="24" borderId="0" xfId="0" applyFont="1" applyFill="1" applyBorder="1" applyAlignment="1">
      <alignment horizontal="left" vertical="justify"/>
    </xf>
    <xf numFmtId="0" fontId="5" fillId="24" borderId="0" xfId="0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 horizontal="right"/>
    </xf>
    <xf numFmtId="0" fontId="5" fillId="24" borderId="0" xfId="0" applyFont="1" applyFill="1" applyBorder="1" applyAlignment="1">
      <alignment horizontal="centerContinuous" vertical="justify"/>
    </xf>
    <xf numFmtId="0" fontId="5" fillId="24" borderId="0" xfId="0" applyFont="1" applyFill="1" applyBorder="1" applyAlignment="1">
      <alignment horizontal="centerContinuous"/>
    </xf>
    <xf numFmtId="4" fontId="5" fillId="0" borderId="0" xfId="0" applyNumberFormat="1" applyFont="1" applyFill="1" applyBorder="1" applyAlignment="1">
      <alignment horizontal="centerContinuous"/>
    </xf>
    <xf numFmtId="0" fontId="6" fillId="24" borderId="0" xfId="0" applyFont="1" applyFill="1" applyBorder="1" applyAlignment="1">
      <alignment horizontal="center" vertical="justify"/>
    </xf>
    <xf numFmtId="4" fontId="5" fillId="0" borderId="0" xfId="0" applyNumberFormat="1" applyFont="1" applyFill="1" applyBorder="1" applyAlignment="1">
      <alignment horizontal="right" vertical="justify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7" fillId="24" borderId="0" xfId="0" applyFont="1" applyFill="1" applyBorder="1" applyAlignment="1">
      <alignment horizontal="justify" vertical="justify"/>
    </xf>
    <xf numFmtId="0" fontId="2" fillId="24" borderId="0" xfId="0" applyFont="1" applyFill="1" applyAlignment="1">
      <alignment/>
    </xf>
    <xf numFmtId="4" fontId="2" fillId="0" borderId="0" xfId="0" applyNumberFormat="1" applyFont="1" applyFill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0" fontId="2" fillId="0" borderId="11" xfId="0" applyFont="1" applyBorder="1" applyAlignment="1">
      <alignment/>
    </xf>
    <xf numFmtId="0" fontId="2" fillId="24" borderId="12" xfId="0" applyFont="1" applyFill="1" applyBorder="1" applyAlignment="1">
      <alignment horizontal="justify" vertical="top" wrapText="1"/>
    </xf>
    <xf numFmtId="4" fontId="2" fillId="0" borderId="13" xfId="0" applyNumberFormat="1" applyFont="1" applyFill="1" applyBorder="1" applyAlignment="1">
      <alignment horizontal="right"/>
    </xf>
    <xf numFmtId="4" fontId="2" fillId="0" borderId="0" xfId="0" applyNumberFormat="1" applyFont="1" applyAlignment="1">
      <alignment/>
    </xf>
    <xf numFmtId="0" fontId="2" fillId="0" borderId="13" xfId="0" applyFont="1" applyBorder="1" applyAlignment="1">
      <alignment/>
    </xf>
    <xf numFmtId="0" fontId="2" fillId="24" borderId="14" xfId="0" applyFont="1" applyFill="1" applyBorder="1" applyAlignment="1">
      <alignment horizontal="justify" vertical="top" wrapText="1"/>
    </xf>
    <xf numFmtId="0" fontId="2" fillId="24" borderId="0" xfId="0" applyFont="1" applyFill="1" applyBorder="1" applyAlignment="1">
      <alignment horizontal="justify" vertical="justify"/>
    </xf>
    <xf numFmtId="4" fontId="1" fillId="0" borderId="0" xfId="0" applyNumberFormat="1" applyFont="1" applyFill="1" applyAlignment="1">
      <alignment horizontal="right"/>
    </xf>
    <xf numFmtId="190" fontId="2" fillId="0" borderId="0" xfId="0" applyNumberFormat="1" applyFont="1" applyAlignment="1">
      <alignment/>
    </xf>
    <xf numFmtId="0" fontId="2" fillId="24" borderId="15" xfId="0" applyFont="1" applyFill="1" applyBorder="1" applyAlignment="1">
      <alignment horizontal="justify" vertical="justify"/>
    </xf>
    <xf numFmtId="0" fontId="2" fillId="24" borderId="15" xfId="0" applyFont="1" applyFill="1" applyBorder="1" applyAlignment="1">
      <alignment/>
    </xf>
    <xf numFmtId="190" fontId="1" fillId="0" borderId="0" xfId="0" applyNumberFormat="1" applyFont="1" applyAlignment="1">
      <alignment/>
    </xf>
    <xf numFmtId="0" fontId="2" fillId="24" borderId="12" xfId="0" applyFont="1" applyFill="1" applyBorder="1" applyAlignment="1">
      <alignment horizontal="justify" vertical="justify"/>
    </xf>
    <xf numFmtId="0" fontId="2" fillId="24" borderId="14" xfId="0" applyFont="1" applyFill="1" applyBorder="1" applyAlignment="1">
      <alignment/>
    </xf>
    <xf numFmtId="0" fontId="7" fillId="24" borderId="0" xfId="0" applyFont="1" applyFill="1" applyBorder="1" applyAlignment="1">
      <alignment horizontal="justify" vertical="top" wrapText="1"/>
    </xf>
    <xf numFmtId="0" fontId="2" fillId="24" borderId="12" xfId="0" applyFont="1" applyFill="1" applyBorder="1" applyAlignment="1">
      <alignment horizontal="left" vertical="justify"/>
    </xf>
    <xf numFmtId="4" fontId="2" fillId="24" borderId="15" xfId="0" applyNumberFormat="1" applyFont="1" applyFill="1" applyBorder="1" applyAlignment="1">
      <alignment/>
    </xf>
    <xf numFmtId="4" fontId="2" fillId="24" borderId="14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4" fontId="2" fillId="0" borderId="14" xfId="0" applyNumberFormat="1" applyFont="1" applyFill="1" applyBorder="1" applyAlignment="1">
      <alignment horizontal="right"/>
    </xf>
    <xf numFmtId="0" fontId="2" fillId="24" borderId="16" xfId="0" applyFont="1" applyFill="1" applyBorder="1" applyAlignment="1">
      <alignment horizontal="justify" vertical="justify"/>
    </xf>
    <xf numFmtId="0" fontId="2" fillId="24" borderId="17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1" fillId="24" borderId="0" xfId="0" applyFont="1" applyFill="1" applyBorder="1" applyAlignment="1">
      <alignment horizontal="justify" vertical="justify"/>
    </xf>
    <xf numFmtId="4" fontId="2" fillId="0" borderId="13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1" fillId="24" borderId="0" xfId="0" applyFont="1" applyFill="1" applyBorder="1" applyAlignment="1">
      <alignment horizontal="left" vertical="justify"/>
    </xf>
    <xf numFmtId="0" fontId="1" fillId="24" borderId="0" xfId="0" applyFont="1" applyFill="1" applyBorder="1" applyAlignment="1">
      <alignment horizontal="center" vertical="justify"/>
    </xf>
    <xf numFmtId="0" fontId="1" fillId="24" borderId="0" xfId="0" applyFont="1" applyFill="1" applyBorder="1" applyAlignment="1">
      <alignment/>
    </xf>
    <xf numFmtId="0" fontId="2" fillId="24" borderId="0" xfId="0" applyFont="1" applyFill="1" applyAlignment="1">
      <alignment horizontal="centerContinuous"/>
    </xf>
    <xf numFmtId="189" fontId="2" fillId="24" borderId="0" xfId="48" applyNumberFormat="1" applyFont="1" applyFill="1" applyAlignment="1">
      <alignment/>
    </xf>
    <xf numFmtId="4" fontId="1" fillId="0" borderId="0" xfId="52" applyNumberFormat="1" applyFont="1" applyFill="1" applyAlignment="1">
      <alignment horizontal="right"/>
    </xf>
    <xf numFmtId="4" fontId="2" fillId="0" borderId="0" xfId="52" applyNumberFormat="1" applyFont="1" applyFill="1" applyAlignment="1">
      <alignment horizontal="right"/>
    </xf>
    <xf numFmtId="0" fontId="2" fillId="24" borderId="18" xfId="0" applyFont="1" applyFill="1" applyBorder="1" applyAlignment="1">
      <alignment horizontal="justify" vertical="justify"/>
    </xf>
    <xf numFmtId="0" fontId="2" fillId="24" borderId="19" xfId="0" applyFont="1" applyFill="1" applyBorder="1" applyAlignment="1">
      <alignment/>
    </xf>
    <xf numFmtId="188" fontId="2" fillId="24" borderId="0" xfId="0" applyNumberFormat="1" applyFont="1" applyFill="1" applyBorder="1" applyAlignment="1">
      <alignment horizontal="right"/>
    </xf>
    <xf numFmtId="4" fontId="1" fillId="0" borderId="0" xfId="52" applyNumberFormat="1" applyFont="1" applyFill="1" applyBorder="1" applyAlignment="1">
      <alignment horizontal="right"/>
    </xf>
    <xf numFmtId="0" fontId="1" fillId="24" borderId="10" xfId="0" applyFont="1" applyFill="1" applyBorder="1" applyAlignment="1">
      <alignment horizontal="justify" vertical="justify"/>
    </xf>
    <xf numFmtId="0" fontId="2" fillId="24" borderId="20" xfId="0" applyFont="1" applyFill="1" applyBorder="1" applyAlignment="1">
      <alignment horizontal="justify" vertical="justify"/>
    </xf>
    <xf numFmtId="0" fontId="2" fillId="24" borderId="20" xfId="0" applyFont="1" applyFill="1" applyBorder="1" applyAlignment="1">
      <alignment/>
    </xf>
    <xf numFmtId="0" fontId="1" fillId="24" borderId="0" xfId="0" applyFont="1" applyFill="1" applyBorder="1" applyAlignment="1">
      <alignment horizontal="justify" vertical="center"/>
    </xf>
    <xf numFmtId="0" fontId="2" fillId="24" borderId="0" xfId="0" applyFont="1" applyFill="1" applyAlignment="1">
      <alignment vertical="center"/>
    </xf>
    <xf numFmtId="4" fontId="1" fillId="0" borderId="0" xfId="0" applyNumberFormat="1" applyFont="1" applyFill="1" applyAlignment="1">
      <alignment horizontal="right" vertical="center"/>
    </xf>
    <xf numFmtId="0" fontId="2" fillId="24" borderId="12" xfId="0" applyFont="1" applyFill="1" applyBorder="1" applyAlignment="1">
      <alignment horizontal="justify"/>
    </xf>
    <xf numFmtId="0" fontId="2" fillId="24" borderId="14" xfId="0" applyFont="1" applyFill="1" applyBorder="1" applyAlignment="1">
      <alignment horizontal="justify"/>
    </xf>
    <xf numFmtId="0" fontId="1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 horizontal="right"/>
    </xf>
    <xf numFmtId="0" fontId="7" fillId="24" borderId="0" xfId="0" applyFont="1" applyFill="1" applyBorder="1" applyAlignment="1">
      <alignment horizontal="left" vertical="top" wrapText="1"/>
    </xf>
    <xf numFmtId="0" fontId="2" fillId="24" borderId="0" xfId="0" applyFont="1" applyFill="1" applyBorder="1" applyAlignment="1">
      <alignment horizontal="left" vertical="top" wrapText="1"/>
    </xf>
    <xf numFmtId="0" fontId="8" fillId="24" borderId="0" xfId="0" applyFont="1" applyFill="1" applyBorder="1" applyAlignment="1">
      <alignment horizontal="left" vertical="top" wrapText="1"/>
    </xf>
    <xf numFmtId="4" fontId="2" fillId="0" borderId="0" xfId="52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vertical="top"/>
    </xf>
    <xf numFmtId="0" fontId="1" fillId="24" borderId="0" xfId="0" applyFont="1" applyFill="1" applyBorder="1" applyAlignment="1">
      <alignment vertical="top"/>
    </xf>
    <xf numFmtId="0" fontId="1" fillId="24" borderId="0" xfId="0" applyFont="1" applyFill="1" applyBorder="1" applyAlignment="1">
      <alignment horizontal="left"/>
    </xf>
    <xf numFmtId="0" fontId="1" fillId="24" borderId="0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justify" vertical="top" wrapText="1"/>
    </xf>
    <xf numFmtId="0" fontId="2" fillId="24" borderId="15" xfId="0" applyFont="1" applyFill="1" applyBorder="1" applyAlignment="1">
      <alignment horizontal="justify" vertical="top" wrapText="1"/>
    </xf>
    <xf numFmtId="4" fontId="2" fillId="0" borderId="13" xfId="52" applyNumberFormat="1" applyFont="1" applyFill="1" applyBorder="1" applyAlignment="1">
      <alignment horizontal="right" wrapText="1"/>
    </xf>
    <xf numFmtId="0" fontId="2" fillId="24" borderId="12" xfId="0" applyFont="1" applyFill="1" applyBorder="1" applyAlignment="1">
      <alignment horizontal="left" vertical="top" wrapText="1"/>
    </xf>
    <xf numFmtId="0" fontId="1" fillId="24" borderId="0" xfId="0" applyFont="1" applyFill="1" applyBorder="1" applyAlignment="1">
      <alignment/>
    </xf>
    <xf numFmtId="0" fontId="1" fillId="24" borderId="0" xfId="0" applyFont="1" applyFill="1" applyAlignment="1">
      <alignment/>
    </xf>
    <xf numFmtId="0" fontId="7" fillId="24" borderId="0" xfId="0" applyFont="1" applyFill="1" applyBorder="1" applyAlignment="1">
      <alignment horizontal="left" vertical="center" wrapText="1"/>
    </xf>
    <xf numFmtId="4" fontId="1" fillId="0" borderId="0" xfId="52" applyNumberFormat="1" applyFont="1" applyFill="1" applyBorder="1" applyAlignment="1">
      <alignment horizontal="right" vertical="center" wrapText="1"/>
    </xf>
    <xf numFmtId="4" fontId="2" fillId="24" borderId="13" xfId="52" applyNumberFormat="1" applyFont="1" applyFill="1" applyBorder="1" applyAlignment="1">
      <alignment horizontal="right"/>
    </xf>
    <xf numFmtId="0" fontId="2" fillId="24" borderId="15" xfId="0" applyFont="1" applyFill="1" applyBorder="1" applyAlignment="1">
      <alignment horizontal="justify" vertical="top"/>
    </xf>
    <xf numFmtId="0" fontId="2" fillId="24" borderId="14" xfId="0" applyFont="1" applyFill="1" applyBorder="1" applyAlignment="1">
      <alignment horizontal="justify" vertical="top"/>
    </xf>
    <xf numFmtId="4" fontId="1" fillId="24" borderId="0" xfId="0" applyNumberFormat="1" applyFont="1" applyFill="1" applyAlignment="1">
      <alignment horizontal="right"/>
    </xf>
    <xf numFmtId="4" fontId="2" fillId="24" borderId="0" xfId="0" applyNumberFormat="1" applyFont="1" applyFill="1" applyAlignment="1">
      <alignment horizontal="right"/>
    </xf>
    <xf numFmtId="4" fontId="7" fillId="24" borderId="0" xfId="52" applyNumberFormat="1" applyFont="1" applyFill="1" applyBorder="1" applyAlignment="1">
      <alignment horizontal="right"/>
    </xf>
    <xf numFmtId="4" fontId="2" fillId="0" borderId="13" xfId="52" applyNumberFormat="1" applyFont="1" applyFill="1" applyBorder="1" applyAlignment="1">
      <alignment horizontal="right"/>
    </xf>
    <xf numFmtId="0" fontId="2" fillId="24" borderId="12" xfId="0" applyFont="1" applyFill="1" applyBorder="1" applyAlignment="1">
      <alignment horizontal="left" vertical="top"/>
    </xf>
    <xf numFmtId="0" fontId="2" fillId="24" borderId="14" xfId="0" applyFont="1" applyFill="1" applyBorder="1" applyAlignment="1">
      <alignment horizontal="left" vertical="top"/>
    </xf>
    <xf numFmtId="0" fontId="2" fillId="24" borderId="12" xfId="0" applyFont="1" applyFill="1" applyBorder="1" applyAlignment="1">
      <alignment vertical="top"/>
    </xf>
    <xf numFmtId="0" fontId="9" fillId="24" borderId="0" xfId="0" applyFont="1" applyFill="1" applyAlignment="1">
      <alignment/>
    </xf>
    <xf numFmtId="0" fontId="2" fillId="24" borderId="0" xfId="0" applyFont="1" applyFill="1" applyBorder="1" applyAlignment="1">
      <alignment horizontal="left" vertical="top"/>
    </xf>
    <xf numFmtId="0" fontId="7" fillId="24" borderId="0" xfId="0" applyFont="1" applyFill="1" applyBorder="1" applyAlignment="1">
      <alignment horizontal="left" vertical="top"/>
    </xf>
    <xf numFmtId="4" fontId="1" fillId="24" borderId="0" xfId="52" applyNumberFormat="1" applyFont="1" applyFill="1" applyBorder="1" applyAlignment="1">
      <alignment horizontal="right"/>
    </xf>
    <xf numFmtId="4" fontId="2" fillId="24" borderId="0" xfId="52" applyNumberFormat="1" applyFont="1" applyFill="1" applyBorder="1" applyAlignment="1">
      <alignment horizontal="right"/>
    </xf>
    <xf numFmtId="0" fontId="2" fillId="24" borderId="15" xfId="0" applyFont="1" applyFill="1" applyBorder="1" applyAlignment="1">
      <alignment horizontal="left" vertical="top"/>
    </xf>
    <xf numFmtId="0" fontId="2" fillId="24" borderId="15" xfId="0" applyFont="1" applyFill="1" applyBorder="1" applyAlignment="1">
      <alignment horizontal="left" vertical="top" wrapText="1"/>
    </xf>
    <xf numFmtId="0" fontId="2" fillId="24" borderId="12" xfId="0" applyFont="1" applyFill="1" applyBorder="1" applyAlignment="1">
      <alignment/>
    </xf>
    <xf numFmtId="0" fontId="1" fillId="24" borderId="0" xfId="0" applyFont="1" applyFill="1" applyBorder="1" applyAlignment="1">
      <alignment horizontal="center" vertical="top" wrapText="1"/>
    </xf>
    <xf numFmtId="4" fontId="1" fillId="24" borderId="0" xfId="52" applyNumberFormat="1" applyFont="1" applyFill="1" applyBorder="1" applyAlignment="1">
      <alignment horizontal="right" vertical="top"/>
    </xf>
    <xf numFmtId="0" fontId="2" fillId="24" borderId="12" xfId="0" applyFont="1" applyFill="1" applyBorder="1" applyAlignment="1">
      <alignment vertical="center" wrapText="1"/>
    </xf>
    <xf numFmtId="0" fontId="1" fillId="24" borderId="15" xfId="0" applyFont="1" applyFill="1" applyBorder="1" applyAlignment="1">
      <alignment horizontal="justify" vertical="center" wrapText="1"/>
    </xf>
    <xf numFmtId="4" fontId="2" fillId="24" borderId="13" xfId="52" applyNumberFormat="1" applyFont="1" applyFill="1" applyBorder="1" applyAlignment="1">
      <alignment horizontal="right" vertical="center"/>
    </xf>
    <xf numFmtId="4" fontId="2" fillId="24" borderId="13" xfId="0" applyNumberFormat="1" applyFont="1" applyFill="1" applyBorder="1" applyAlignment="1">
      <alignment horizontal="right" wrapText="1"/>
    </xf>
    <xf numFmtId="4" fontId="1" fillId="0" borderId="21" xfId="52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" fontId="2" fillId="0" borderId="0" xfId="0" applyNumberFormat="1" applyFont="1" applyFill="1" applyAlignment="1">
      <alignment horizontal="left"/>
    </xf>
    <xf numFmtId="0" fontId="11" fillId="0" borderId="0" xfId="0" applyFont="1" applyAlignment="1">
      <alignment/>
    </xf>
    <xf numFmtId="192" fontId="0" fillId="0" borderId="0" xfId="50" applyNumberFormat="1" applyAlignment="1">
      <alignment/>
    </xf>
    <xf numFmtId="0" fontId="12" fillId="0" borderId="0" xfId="0" applyFont="1" applyAlignment="1">
      <alignment/>
    </xf>
    <xf numFmtId="192" fontId="12" fillId="10" borderId="13" xfId="50" applyNumberFormat="1" applyFont="1" applyFill="1" applyBorder="1" applyAlignment="1">
      <alignment/>
    </xf>
    <xf numFmtId="192" fontId="0" fillId="10" borderId="13" xfId="50" applyNumberFormat="1" applyFill="1" applyBorder="1" applyAlignment="1">
      <alignment/>
    </xf>
    <xf numFmtId="192" fontId="6" fillId="11" borderId="13" xfId="50" applyNumberFormat="1" applyFont="1" applyFill="1" applyBorder="1" applyAlignment="1">
      <alignment/>
    </xf>
    <xf numFmtId="192" fontId="12" fillId="11" borderId="13" xfId="50" applyNumberFormat="1" applyFont="1" applyFill="1" applyBorder="1" applyAlignment="1">
      <alignment/>
    </xf>
    <xf numFmtId="192" fontId="12" fillId="19" borderId="0" xfId="50" applyNumberFormat="1" applyFont="1" applyFill="1" applyBorder="1" applyAlignment="1">
      <alignment/>
    </xf>
    <xf numFmtId="192" fontId="12" fillId="14" borderId="0" xfId="50" applyNumberFormat="1" applyFont="1" applyFill="1" applyBorder="1" applyAlignment="1">
      <alignment/>
    </xf>
    <xf numFmtId="192" fontId="0" fillId="0" borderId="0" xfId="0" applyNumberFormat="1" applyAlignment="1">
      <alignment/>
    </xf>
    <xf numFmtId="0" fontId="1" fillId="24" borderId="0" xfId="0" applyFont="1" applyFill="1" applyBorder="1" applyAlignment="1">
      <alignment horizontal="justify"/>
    </xf>
    <xf numFmtId="192" fontId="12" fillId="11" borderId="0" xfId="50" applyNumberFormat="1" applyFont="1" applyFill="1" applyBorder="1" applyAlignment="1">
      <alignment/>
    </xf>
    <xf numFmtId="0" fontId="2" fillId="0" borderId="0" xfId="0" applyFont="1" applyAlignment="1">
      <alignment/>
    </xf>
    <xf numFmtId="192" fontId="2" fillId="0" borderId="0" xfId="50" applyNumberFormat="1" applyFont="1" applyAlignment="1">
      <alignment/>
    </xf>
    <xf numFmtId="192" fontId="2" fillId="0" borderId="0" xfId="50" applyNumberFormat="1" applyFont="1" applyFill="1" applyAlignment="1">
      <alignment/>
    </xf>
    <xf numFmtId="192" fontId="1" fillId="11" borderId="13" xfId="50" applyNumberFormat="1" applyFont="1" applyFill="1" applyBorder="1" applyAlignment="1">
      <alignment/>
    </xf>
    <xf numFmtId="194" fontId="2" fillId="0" borderId="0" xfId="48" applyNumberFormat="1" applyFont="1" applyAlignment="1">
      <alignment/>
    </xf>
    <xf numFmtId="194" fontId="3" fillId="0" borderId="0" xfId="48" applyNumberFormat="1" applyFont="1" applyAlignment="1">
      <alignment/>
    </xf>
    <xf numFmtId="194" fontId="4" fillId="0" borderId="0" xfId="48" applyNumberFormat="1" applyFont="1" applyFill="1" applyAlignment="1">
      <alignment horizontal="right"/>
    </xf>
    <xf numFmtId="194" fontId="1" fillId="0" borderId="0" xfId="48" applyNumberFormat="1" applyFont="1" applyAlignment="1">
      <alignment/>
    </xf>
    <xf numFmtId="194" fontId="2" fillId="0" borderId="0" xfId="48" applyNumberFormat="1" applyFont="1" applyFill="1" applyBorder="1" applyAlignment="1">
      <alignment horizontal="right"/>
    </xf>
    <xf numFmtId="194" fontId="2" fillId="24" borderId="0" xfId="48" applyNumberFormat="1" applyFont="1" applyFill="1" applyAlignment="1">
      <alignment/>
    </xf>
    <xf numFmtId="194" fontId="2" fillId="0" borderId="0" xfId="48" applyNumberFormat="1" applyFont="1" applyFill="1" applyAlignment="1">
      <alignment/>
    </xf>
    <xf numFmtId="194" fontId="2" fillId="0" borderId="0" xfId="48" applyNumberFormat="1" applyFont="1" applyAlignment="1">
      <alignment horizontal="left"/>
    </xf>
    <xf numFmtId="194" fontId="1" fillId="0" borderId="0" xfId="48" applyNumberFormat="1" applyFont="1" applyAlignment="1">
      <alignment horizontal="left"/>
    </xf>
    <xf numFmtId="194" fontId="2" fillId="19" borderId="0" xfId="48" applyNumberFormat="1" applyFont="1" applyFill="1" applyAlignment="1">
      <alignment/>
    </xf>
    <xf numFmtId="194" fontId="2" fillId="19" borderId="0" xfId="48" applyNumberFormat="1" applyFont="1" applyFill="1" applyAlignment="1">
      <alignment horizontal="center"/>
    </xf>
    <xf numFmtId="194" fontId="2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4" fontId="2" fillId="24" borderId="17" xfId="0" applyNumberFormat="1" applyFont="1" applyFill="1" applyBorder="1" applyAlignment="1">
      <alignment/>
    </xf>
    <xf numFmtId="177" fontId="15" fillId="0" borderId="0" xfId="0" applyNumberFormat="1" applyFont="1" applyBorder="1" applyAlignment="1">
      <alignment/>
    </xf>
    <xf numFmtId="177" fontId="16" fillId="0" borderId="0" xfId="0" applyNumberFormat="1" applyFont="1" applyBorder="1" applyAlignment="1">
      <alignment horizontal="centerContinuous"/>
    </xf>
    <xf numFmtId="177" fontId="15" fillId="0" borderId="0" xfId="0" applyNumberFormat="1" applyFont="1" applyBorder="1" applyAlignment="1">
      <alignment horizontal="centerContinuous"/>
    </xf>
    <xf numFmtId="177" fontId="15" fillId="0" borderId="17" xfId="0" applyNumberFormat="1" applyFont="1" applyFill="1" applyBorder="1" applyAlignment="1">
      <alignment horizontal="centerContinuous"/>
    </xf>
    <xf numFmtId="177" fontId="16" fillId="0" borderId="22" xfId="0" applyNumberFormat="1" applyFont="1" applyFill="1" applyBorder="1" applyAlignment="1">
      <alignment horizontal="centerContinuous"/>
    </xf>
    <xf numFmtId="177" fontId="16" fillId="22" borderId="23" xfId="0" applyNumberFormat="1" applyFont="1" applyFill="1" applyBorder="1" applyAlignment="1">
      <alignment horizontal="center"/>
    </xf>
    <xf numFmtId="177" fontId="16" fillId="22" borderId="24" xfId="0" applyNumberFormat="1" applyFont="1" applyFill="1" applyBorder="1" applyAlignment="1">
      <alignment horizontal="center"/>
    </xf>
    <xf numFmtId="177" fontId="15" fillId="0" borderId="0" xfId="0" applyNumberFormat="1" applyFont="1" applyAlignment="1">
      <alignment/>
    </xf>
    <xf numFmtId="177" fontId="15" fillId="0" borderId="13" xfId="0" applyNumberFormat="1" applyFont="1" applyBorder="1" applyAlignment="1">
      <alignment/>
    </xf>
    <xf numFmtId="177" fontId="16" fillId="0" borderId="13" xfId="0" applyNumberFormat="1" applyFont="1" applyBorder="1" applyAlignment="1">
      <alignment horizontal="centerContinuous"/>
    </xf>
    <xf numFmtId="177" fontId="16" fillId="0" borderId="13" xfId="0" applyNumberFormat="1" applyFont="1" applyFill="1" applyBorder="1" applyAlignment="1">
      <alignment horizontal="center"/>
    </xf>
    <xf numFmtId="177" fontId="16" fillId="0" borderId="25" xfId="0" applyNumberFormat="1" applyFont="1" applyFill="1" applyBorder="1" applyAlignment="1">
      <alignment horizontal="centerContinuous"/>
    </xf>
    <xf numFmtId="177" fontId="16" fillId="22" borderId="26" xfId="0" applyNumberFormat="1" applyFont="1" applyFill="1" applyBorder="1" applyAlignment="1">
      <alignment horizontal="center"/>
    </xf>
    <xf numFmtId="177" fontId="16" fillId="22" borderId="27" xfId="0" applyNumberFormat="1" applyFont="1" applyFill="1" applyBorder="1" applyAlignment="1">
      <alignment horizontal="center"/>
    </xf>
    <xf numFmtId="177" fontId="16" fillId="22" borderId="28" xfId="0" applyNumberFormat="1" applyFont="1" applyFill="1" applyBorder="1" applyAlignment="1">
      <alignment horizontal="center"/>
    </xf>
    <xf numFmtId="177" fontId="16" fillId="22" borderId="12" xfId="0" applyNumberFormat="1" applyFont="1" applyFill="1" applyBorder="1" applyAlignment="1">
      <alignment/>
    </xf>
    <xf numFmtId="177" fontId="16" fillId="22" borderId="15" xfId="0" applyNumberFormat="1" applyFont="1" applyFill="1" applyBorder="1" applyAlignment="1">
      <alignment horizontal="center"/>
    </xf>
    <xf numFmtId="177" fontId="16" fillId="22" borderId="29" xfId="0" applyNumberFormat="1" applyFont="1" applyFill="1" applyBorder="1" applyAlignment="1">
      <alignment/>
    </xf>
    <xf numFmtId="177" fontId="16" fillId="22" borderId="15" xfId="0" applyNumberFormat="1" applyFont="1" applyFill="1" applyBorder="1" applyAlignment="1">
      <alignment/>
    </xf>
    <xf numFmtId="177" fontId="16" fillId="22" borderId="13" xfId="0" applyNumberFormat="1" applyFont="1" applyFill="1" applyBorder="1" applyAlignment="1">
      <alignment horizontal="center"/>
    </xf>
    <xf numFmtId="177" fontId="15" fillId="22" borderId="13" xfId="0" applyNumberFormat="1" applyFont="1" applyFill="1" applyBorder="1" applyAlignment="1">
      <alignment/>
    </xf>
    <xf numFmtId="177" fontId="15" fillId="22" borderId="14" xfId="0" applyNumberFormat="1" applyFont="1" applyFill="1" applyBorder="1" applyAlignment="1">
      <alignment/>
    </xf>
    <xf numFmtId="177" fontId="15" fillId="22" borderId="30" xfId="0" applyNumberFormat="1" applyFont="1" applyFill="1" applyBorder="1" applyAlignment="1">
      <alignment/>
    </xf>
    <xf numFmtId="177" fontId="15" fillId="22" borderId="31" xfId="0" applyNumberFormat="1" applyFont="1" applyFill="1" applyBorder="1" applyAlignment="1">
      <alignment/>
    </xf>
    <xf numFmtId="177" fontId="15" fillId="22" borderId="32" xfId="0" applyNumberFormat="1" applyFont="1" applyFill="1" applyBorder="1" applyAlignment="1">
      <alignment/>
    </xf>
    <xf numFmtId="177" fontId="15" fillId="0" borderId="32" xfId="0" applyNumberFormat="1" applyFont="1" applyFill="1" applyBorder="1" applyAlignment="1">
      <alignment/>
    </xf>
    <xf numFmtId="177" fontId="15" fillId="0" borderId="0" xfId="0" applyNumberFormat="1" applyFont="1" applyFill="1" applyBorder="1" applyAlignment="1">
      <alignment/>
    </xf>
    <xf numFmtId="209" fontId="15" fillId="0" borderId="11" xfId="51" applyNumberFormat="1" applyFont="1" applyBorder="1" applyAlignment="1">
      <alignment/>
    </xf>
    <xf numFmtId="209" fontId="0" fillId="0" borderId="11" xfId="51" applyNumberFormat="1" applyFont="1" applyBorder="1" applyAlignment="1">
      <alignment/>
    </xf>
    <xf numFmtId="209" fontId="16" fillId="25" borderId="13" xfId="51" applyNumberFormat="1" applyFont="1" applyFill="1" applyBorder="1" applyAlignment="1">
      <alignment/>
    </xf>
    <xf numFmtId="209" fontId="12" fillId="25" borderId="13" xfId="51" applyNumberFormat="1" applyFont="1" applyFill="1" applyBorder="1" applyAlignment="1">
      <alignment/>
    </xf>
    <xf numFmtId="177" fontId="16" fillId="0" borderId="0" xfId="0" applyNumberFormat="1" applyFont="1" applyFill="1" applyBorder="1" applyAlignment="1">
      <alignment horizontal="centerContinuous"/>
    </xf>
    <xf numFmtId="177" fontId="16" fillId="0" borderId="0" xfId="0" applyNumberFormat="1" applyFont="1" applyFill="1" applyBorder="1" applyAlignment="1">
      <alignment horizontal="center"/>
    </xf>
    <xf numFmtId="177" fontId="15" fillId="22" borderId="15" xfId="0" applyNumberFormat="1" applyFont="1" applyFill="1" applyBorder="1" applyAlignment="1">
      <alignment/>
    </xf>
    <xf numFmtId="209" fontId="15" fillId="0" borderId="0" xfId="51" applyNumberFormat="1" applyFont="1" applyAlignment="1">
      <alignment/>
    </xf>
    <xf numFmtId="209" fontId="0" fillId="0" borderId="0" xfId="51" applyNumberFormat="1" applyFont="1" applyAlignment="1">
      <alignment/>
    </xf>
    <xf numFmtId="209" fontId="0" fillId="0" borderId="0" xfId="51" applyNumberFormat="1" applyAlignment="1">
      <alignment/>
    </xf>
    <xf numFmtId="177" fontId="15" fillId="0" borderId="14" xfId="0" applyNumberFormat="1" applyFont="1" applyFill="1" applyBorder="1" applyAlignment="1">
      <alignment/>
    </xf>
    <xf numFmtId="209" fontId="15" fillId="0" borderId="13" xfId="51" applyNumberFormat="1" applyFont="1" applyBorder="1" applyAlignment="1">
      <alignment/>
    </xf>
    <xf numFmtId="209" fontId="16" fillId="0" borderId="13" xfId="51" applyNumberFormat="1" applyFont="1" applyFill="1" applyBorder="1" applyAlignment="1">
      <alignment/>
    </xf>
    <xf numFmtId="209" fontId="15" fillId="22" borderId="13" xfId="51" applyNumberFormat="1" applyFont="1" applyFill="1" applyBorder="1" applyAlignment="1">
      <alignment/>
    </xf>
    <xf numFmtId="209" fontId="15" fillId="22" borderId="11" xfId="51" applyNumberFormat="1" applyFont="1" applyFill="1" applyBorder="1" applyAlignment="1">
      <alignment/>
    </xf>
    <xf numFmtId="209" fontId="16" fillId="22" borderId="13" xfId="51" applyNumberFormat="1" applyFont="1" applyFill="1" applyBorder="1" applyAlignment="1">
      <alignment/>
    </xf>
    <xf numFmtId="209" fontId="17" fillId="22" borderId="13" xfId="51" applyNumberFormat="1" applyFont="1" applyFill="1" applyBorder="1" applyAlignment="1">
      <alignment/>
    </xf>
    <xf numFmtId="209" fontId="12" fillId="4" borderId="13" xfId="51" applyNumberFormat="1" applyFont="1" applyFill="1" applyBorder="1" applyAlignment="1">
      <alignment/>
    </xf>
    <xf numFmtId="209" fontId="16" fillId="0" borderId="33" xfId="51" applyNumberFormat="1" applyFont="1" applyFill="1" applyBorder="1" applyAlignment="1">
      <alignment/>
    </xf>
    <xf numFmtId="209" fontId="15" fillId="0" borderId="33" xfId="51" applyNumberFormat="1" applyFont="1" applyBorder="1" applyAlignment="1">
      <alignment/>
    </xf>
    <xf numFmtId="209" fontId="15" fillId="22" borderId="15" xfId="51" applyNumberFormat="1" applyFont="1" applyFill="1" applyBorder="1" applyAlignment="1">
      <alignment/>
    </xf>
    <xf numFmtId="209" fontId="16" fillId="22" borderId="15" xfId="51" applyNumberFormat="1" applyFont="1" applyFill="1" applyBorder="1" applyAlignment="1">
      <alignment/>
    </xf>
    <xf numFmtId="209" fontId="15" fillId="22" borderId="14" xfId="51" applyNumberFormat="1" applyFont="1" applyFill="1" applyBorder="1" applyAlignment="1">
      <alignment/>
    </xf>
    <xf numFmtId="209" fontId="0" fillId="0" borderId="17" xfId="51" applyNumberFormat="1" applyFont="1" applyBorder="1" applyAlignment="1">
      <alignment/>
    </xf>
    <xf numFmtId="209" fontId="16" fillId="22" borderId="10" xfId="51" applyNumberFormat="1" applyFont="1" applyFill="1" applyBorder="1" applyAlignment="1">
      <alignment/>
    </xf>
    <xf numFmtId="209" fontId="16" fillId="0" borderId="11" xfId="51" applyNumberFormat="1" applyFont="1" applyFill="1" applyBorder="1" applyAlignment="1">
      <alignment/>
    </xf>
    <xf numFmtId="209" fontId="16" fillId="22" borderId="11" xfId="51" applyNumberFormat="1" applyFont="1" applyFill="1" applyBorder="1" applyAlignment="1">
      <alignment/>
    </xf>
    <xf numFmtId="209" fontId="16" fillId="0" borderId="16" xfId="51" applyNumberFormat="1" applyFont="1" applyFill="1" applyBorder="1" applyAlignment="1">
      <alignment/>
    </xf>
    <xf numFmtId="209" fontId="16" fillId="0" borderId="10" xfId="51" applyNumberFormat="1" applyFont="1" applyFill="1" applyBorder="1" applyAlignment="1">
      <alignment/>
    </xf>
    <xf numFmtId="209" fontId="16" fillId="0" borderId="17" xfId="51" applyNumberFormat="1" applyFont="1" applyFill="1" applyBorder="1" applyAlignment="1">
      <alignment/>
    </xf>
    <xf numFmtId="209" fontId="12" fillId="25" borderId="17" xfId="51" applyNumberFormat="1" applyFont="1" applyFill="1" applyBorder="1" applyAlignment="1">
      <alignment/>
    </xf>
    <xf numFmtId="209" fontId="16" fillId="22" borderId="16" xfId="51" applyNumberFormat="1" applyFont="1" applyFill="1" applyBorder="1" applyAlignment="1">
      <alignment/>
    </xf>
    <xf numFmtId="177" fontId="16" fillId="22" borderId="16" xfId="0" applyNumberFormat="1" applyFont="1" applyFill="1" applyBorder="1" applyAlignment="1">
      <alignment/>
    </xf>
    <xf numFmtId="177" fontId="15" fillId="22" borderId="10" xfId="0" applyNumberFormat="1" applyFont="1" applyFill="1" applyBorder="1" applyAlignment="1">
      <alignment/>
    </xf>
    <xf numFmtId="177" fontId="16" fillId="22" borderId="10" xfId="0" applyNumberFormat="1" applyFont="1" applyFill="1" applyBorder="1" applyAlignment="1">
      <alignment/>
    </xf>
    <xf numFmtId="177" fontId="15" fillId="22" borderId="17" xfId="0" applyNumberFormat="1" applyFont="1" applyFill="1" applyBorder="1" applyAlignment="1">
      <alignment/>
    </xf>
    <xf numFmtId="177" fontId="15" fillId="0" borderId="17" xfId="0" applyNumberFormat="1" applyFont="1" applyFill="1" applyBorder="1" applyAlignment="1">
      <alignment/>
    </xf>
    <xf numFmtId="209" fontId="15" fillId="25" borderId="13" xfId="51" applyNumberFormat="1" applyFont="1" applyFill="1" applyBorder="1" applyAlignment="1">
      <alignment/>
    </xf>
    <xf numFmtId="177" fontId="16" fillId="0" borderId="16" xfId="0" applyNumberFormat="1" applyFont="1" applyFill="1" applyBorder="1" applyAlignment="1">
      <alignment/>
    </xf>
    <xf numFmtId="177" fontId="15" fillId="0" borderId="10" xfId="0" applyNumberFormat="1" applyFont="1" applyFill="1" applyBorder="1" applyAlignment="1">
      <alignment/>
    </xf>
    <xf numFmtId="177" fontId="16" fillId="0" borderId="10" xfId="0" applyNumberFormat="1" applyFont="1" applyFill="1" applyBorder="1" applyAlignment="1">
      <alignment/>
    </xf>
    <xf numFmtId="177" fontId="16" fillId="7" borderId="13" xfId="0" applyNumberFormat="1" applyFont="1" applyFill="1" applyBorder="1" applyAlignment="1">
      <alignment/>
    </xf>
    <xf numFmtId="177" fontId="15" fillId="7" borderId="13" xfId="0" applyNumberFormat="1" applyFont="1" applyFill="1" applyBorder="1" applyAlignment="1">
      <alignment/>
    </xf>
    <xf numFmtId="209" fontId="15" fillId="0" borderId="11" xfId="51" applyNumberFormat="1" applyFont="1" applyFill="1" applyBorder="1" applyAlignment="1">
      <alignment/>
    </xf>
    <xf numFmtId="209" fontId="15" fillId="0" borderId="13" xfId="51" applyNumberFormat="1" applyFont="1" applyFill="1" applyBorder="1" applyAlignment="1">
      <alignment/>
    </xf>
    <xf numFmtId="209" fontId="18" fillId="24" borderId="0" xfId="51" applyNumberFormat="1" applyFont="1" applyFill="1" applyBorder="1" applyAlignment="1">
      <alignment/>
    </xf>
    <xf numFmtId="209" fontId="19" fillId="24" borderId="0" xfId="51" applyNumberFormat="1" applyFont="1" applyFill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77" fontId="16" fillId="0" borderId="36" xfId="0" applyNumberFormat="1" applyFont="1" applyFill="1" applyBorder="1" applyAlignment="1">
      <alignment horizontal="center"/>
    </xf>
    <xf numFmtId="177" fontId="16" fillId="0" borderId="36" xfId="0" applyNumberFormat="1" applyFont="1" applyFill="1" applyBorder="1" applyAlignment="1">
      <alignment horizontal="center" vertical="justify"/>
    </xf>
    <xf numFmtId="177" fontId="16" fillId="22" borderId="36" xfId="0" applyNumberFormat="1" applyFont="1" applyFill="1" applyBorder="1" applyAlignment="1">
      <alignment horizontal="center" vertical="distributed"/>
    </xf>
    <xf numFmtId="177" fontId="16" fillId="22" borderId="36" xfId="0" applyNumberFormat="1" applyFont="1" applyFill="1" applyBorder="1" applyAlignment="1">
      <alignment horizontal="center" vertical="justify"/>
    </xf>
    <xf numFmtId="177" fontId="16" fillId="22" borderId="36" xfId="0" applyNumberFormat="1" applyFont="1" applyFill="1" applyBorder="1" applyAlignment="1">
      <alignment horizontal="justify" vertical="justify"/>
    </xf>
    <xf numFmtId="177" fontId="16" fillId="22" borderId="36" xfId="0" applyNumberFormat="1" applyFont="1" applyFill="1" applyBorder="1" applyAlignment="1">
      <alignment horizontal="left" vertical="justify"/>
    </xf>
    <xf numFmtId="177" fontId="16" fillId="22" borderId="36" xfId="0" applyNumberFormat="1" applyFont="1" applyFill="1" applyBorder="1" applyAlignment="1">
      <alignment horizontal="center"/>
    </xf>
    <xf numFmtId="177" fontId="16" fillId="22" borderId="37" xfId="0" applyNumberFormat="1" applyFont="1" applyFill="1" applyBorder="1" applyAlignment="1">
      <alignment horizontal="center" vertical="justify"/>
    </xf>
    <xf numFmtId="177" fontId="16" fillId="22" borderId="38" xfId="0" applyNumberFormat="1" applyFont="1" applyFill="1" applyBorder="1" applyAlignment="1">
      <alignment horizontal="center"/>
    </xf>
    <xf numFmtId="177" fontId="16" fillId="22" borderId="39" xfId="0" applyNumberFormat="1" applyFont="1" applyFill="1" applyBorder="1" applyAlignment="1">
      <alignment horizontal="center"/>
    </xf>
    <xf numFmtId="209" fontId="12" fillId="4" borderId="29" xfId="51" applyNumberFormat="1" applyFont="1" applyFill="1" applyBorder="1" applyAlignment="1">
      <alignment/>
    </xf>
    <xf numFmtId="209" fontId="12" fillId="4" borderId="15" xfId="51" applyNumberFormat="1" applyFont="1" applyFill="1" applyBorder="1" applyAlignment="1">
      <alignment/>
    </xf>
    <xf numFmtId="209" fontId="12" fillId="22" borderId="15" xfId="51" applyNumberFormat="1" applyFont="1" applyFill="1" applyBorder="1" applyAlignment="1">
      <alignment/>
    </xf>
    <xf numFmtId="177" fontId="15" fillId="0" borderId="15" xfId="0" applyNumberFormat="1" applyFont="1" applyFill="1" applyBorder="1" applyAlignment="1">
      <alignment/>
    </xf>
    <xf numFmtId="177" fontId="15" fillId="0" borderId="30" xfId="0" applyNumberFormat="1" applyFont="1" applyFill="1" applyBorder="1" applyAlignment="1">
      <alignment/>
    </xf>
    <xf numFmtId="209" fontId="20" fillId="0" borderId="28" xfId="51" applyNumberFormat="1" applyFont="1" applyBorder="1" applyAlignment="1">
      <alignment/>
    </xf>
    <xf numFmtId="209" fontId="20" fillId="0" borderId="11" xfId="51" applyNumberFormat="1" applyFont="1" applyBorder="1" applyAlignment="1">
      <alignment/>
    </xf>
    <xf numFmtId="209" fontId="20" fillId="0" borderId="40" xfId="51" applyNumberFormat="1" applyFont="1" applyBorder="1" applyAlignment="1">
      <alignment/>
    </xf>
    <xf numFmtId="0" fontId="20" fillId="0" borderId="0" xfId="0" applyFont="1" applyAlignment="1">
      <alignment/>
    </xf>
    <xf numFmtId="209" fontId="20" fillId="0" borderId="32" xfId="51" applyNumberFormat="1" applyFont="1" applyBorder="1" applyAlignment="1">
      <alignment/>
    </xf>
    <xf numFmtId="209" fontId="20" fillId="0" borderId="13" xfId="51" applyNumberFormat="1" applyFont="1" applyBorder="1" applyAlignment="1">
      <alignment/>
    </xf>
    <xf numFmtId="209" fontId="21" fillId="4" borderId="32" xfId="51" applyNumberFormat="1" applyFont="1" applyFill="1" applyBorder="1" applyAlignment="1">
      <alignment/>
    </xf>
    <xf numFmtId="209" fontId="21" fillId="4" borderId="13" xfId="51" applyNumberFormat="1" applyFont="1" applyFill="1" applyBorder="1" applyAlignment="1">
      <alignment/>
    </xf>
    <xf numFmtId="209" fontId="21" fillId="4" borderId="41" xfId="51" applyNumberFormat="1" applyFont="1" applyFill="1" applyBorder="1" applyAlignment="1">
      <alignment/>
    </xf>
    <xf numFmtId="209" fontId="21" fillId="0" borderId="42" xfId="51" applyNumberFormat="1" applyFont="1" applyFill="1" applyBorder="1" applyAlignment="1">
      <alignment/>
    </xf>
    <xf numFmtId="209" fontId="21" fillId="0" borderId="0" xfId="51" applyNumberFormat="1" applyFont="1" applyFill="1" applyBorder="1" applyAlignment="1">
      <alignment/>
    </xf>
    <xf numFmtId="209" fontId="21" fillId="0" borderId="25" xfId="51" applyNumberFormat="1" applyFont="1" applyFill="1" applyBorder="1" applyAlignment="1">
      <alignment/>
    </xf>
    <xf numFmtId="0" fontId="20" fillId="0" borderId="42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43" xfId="0" applyFont="1" applyBorder="1" applyAlignment="1">
      <alignment horizontal="center"/>
    </xf>
    <xf numFmtId="0" fontId="20" fillId="0" borderId="21" xfId="0" applyFont="1" applyBorder="1" applyAlignment="1">
      <alignment/>
    </xf>
    <xf numFmtId="209" fontId="21" fillId="0" borderId="21" xfId="0" applyNumberFormat="1" applyFont="1" applyBorder="1" applyAlignment="1">
      <alignment/>
    </xf>
    <xf numFmtId="0" fontId="21" fillId="0" borderId="21" xfId="0" applyFont="1" applyBorder="1" applyAlignment="1">
      <alignment/>
    </xf>
    <xf numFmtId="209" fontId="21" fillId="4" borderId="44" xfId="51" applyNumberFormat="1" applyFont="1" applyFill="1" applyBorder="1" applyAlignment="1">
      <alignment/>
    </xf>
    <xf numFmtId="209" fontId="0" fillId="0" borderId="0" xfId="0" applyNumberFormat="1" applyAlignment="1">
      <alignment/>
    </xf>
    <xf numFmtId="212" fontId="0" fillId="0" borderId="0" xfId="0" applyNumberFormat="1" applyAlignment="1">
      <alignment/>
    </xf>
    <xf numFmtId="212" fontId="12" fillId="0" borderId="0" xfId="0" applyNumberFormat="1" applyFont="1" applyAlignment="1">
      <alignment/>
    </xf>
    <xf numFmtId="194" fontId="2" fillId="26" borderId="0" xfId="48" applyNumberFormat="1" applyFont="1" applyFill="1" applyAlignment="1">
      <alignment/>
    </xf>
    <xf numFmtId="209" fontId="15" fillId="24" borderId="0" xfId="51" applyNumberFormat="1" applyFont="1" applyFill="1" applyBorder="1" applyAlignment="1">
      <alignment/>
    </xf>
    <xf numFmtId="194" fontId="0" fillId="26" borderId="0" xfId="48" applyNumberFormat="1" applyFont="1" applyFill="1" applyAlignment="1">
      <alignment horizontal="center"/>
    </xf>
    <xf numFmtId="3" fontId="2" fillId="0" borderId="0" xfId="0" applyNumberFormat="1" applyFont="1" applyAlignment="1">
      <alignment/>
    </xf>
    <xf numFmtId="4" fontId="1" fillId="24" borderId="0" xfId="52" applyNumberFormat="1" applyFont="1" applyFill="1" applyBorder="1" applyAlignment="1">
      <alignment horizontal="right" vertical="center" wrapText="1"/>
    </xf>
    <xf numFmtId="4" fontId="1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4" fontId="4" fillId="0" borderId="0" xfId="0" applyNumberFormat="1" applyFont="1" applyFill="1" applyAlignment="1">
      <alignment horizontal="right"/>
    </xf>
    <xf numFmtId="192" fontId="0" fillId="9" borderId="0" xfId="50" applyNumberFormat="1" applyFill="1" applyAlignment="1">
      <alignment/>
    </xf>
    <xf numFmtId="194" fontId="0" fillId="0" borderId="0" xfId="48" applyNumberFormat="1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194" fontId="2" fillId="19" borderId="0" xfId="48" applyNumberFormat="1" applyFont="1" applyFill="1" applyAlignment="1">
      <alignment/>
    </xf>
    <xf numFmtId="194" fontId="2" fillId="24" borderId="0" xfId="48" applyNumberFormat="1" applyFont="1" applyFill="1" applyAlignment="1">
      <alignment/>
    </xf>
    <xf numFmtId="194" fontId="2" fillId="0" borderId="0" xfId="0" applyNumberFormat="1" applyFont="1" applyAlignment="1">
      <alignment wrapText="1"/>
    </xf>
    <xf numFmtId="4" fontId="5" fillId="0" borderId="0" xfId="0" applyNumberFormat="1" applyFont="1" applyBorder="1" applyAlignment="1">
      <alignment horizontal="center"/>
    </xf>
    <xf numFmtId="0" fontId="2" fillId="24" borderId="14" xfId="0" applyFont="1" applyFill="1" applyBorder="1" applyAlignment="1">
      <alignment horizontal="left" vertical="top" wrapText="1"/>
    </xf>
    <xf numFmtId="0" fontId="7" fillId="24" borderId="0" xfId="0" applyFont="1" applyFill="1" applyBorder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2" fillId="24" borderId="12" xfId="0" applyFont="1" applyFill="1" applyBorder="1" applyAlignment="1">
      <alignment horizontal="left" vertical="justify"/>
    </xf>
    <xf numFmtId="0" fontId="2" fillId="24" borderId="14" xfId="0" applyFont="1" applyFill="1" applyBorder="1" applyAlignment="1">
      <alignment horizontal="left" vertical="justify"/>
    </xf>
    <xf numFmtId="0" fontId="7" fillId="24" borderId="10" xfId="0" applyFont="1" applyFill="1" applyBorder="1" applyAlignment="1">
      <alignment horizontal="left" vertical="justify"/>
    </xf>
    <xf numFmtId="0" fontId="2" fillId="24" borderId="11" xfId="0" applyFont="1" applyFill="1" applyBorder="1" applyAlignment="1">
      <alignment horizontal="left" vertical="justify"/>
    </xf>
    <xf numFmtId="0" fontId="2" fillId="24" borderId="13" xfId="0" applyFont="1" applyFill="1" applyBorder="1" applyAlignment="1">
      <alignment horizontal="left" vertical="justify"/>
    </xf>
    <xf numFmtId="0" fontId="2" fillId="24" borderId="12" xfId="0" applyFont="1" applyFill="1" applyBorder="1" applyAlignment="1">
      <alignment horizontal="justify" vertical="justify"/>
    </xf>
    <xf numFmtId="0" fontId="2" fillId="24" borderId="14" xfId="0" applyFont="1" applyFill="1" applyBorder="1" applyAlignment="1">
      <alignment horizontal="justify" vertical="justify"/>
    </xf>
    <xf numFmtId="0" fontId="1" fillId="24" borderId="0" xfId="0" applyFont="1" applyFill="1" applyBorder="1" applyAlignment="1">
      <alignment horizontal="center" vertical="justify"/>
    </xf>
    <xf numFmtId="0" fontId="7" fillId="24" borderId="0" xfId="0" applyFont="1" applyFill="1" applyBorder="1" applyAlignment="1">
      <alignment horizontal="left" vertical="justify"/>
    </xf>
    <xf numFmtId="0" fontId="1" fillId="24" borderId="0" xfId="0" applyFont="1" applyFill="1" applyBorder="1" applyAlignment="1">
      <alignment horizontal="left" vertical="justify"/>
    </xf>
    <xf numFmtId="0" fontId="2" fillId="24" borderId="12" xfId="0" applyFont="1" applyFill="1" applyBorder="1" applyAlignment="1">
      <alignment horizontal="justify"/>
    </xf>
    <xf numFmtId="0" fontId="2" fillId="24" borderId="14" xfId="0" applyFont="1" applyFill="1" applyBorder="1" applyAlignment="1">
      <alignment horizontal="justify"/>
    </xf>
    <xf numFmtId="0" fontId="7" fillId="24" borderId="0" xfId="0" applyFont="1" applyFill="1" applyBorder="1" applyAlignment="1">
      <alignment horizontal="left" vertical="top" wrapText="1"/>
    </xf>
    <xf numFmtId="0" fontId="7" fillId="24" borderId="10" xfId="0" applyFont="1" applyFill="1" applyBorder="1" applyAlignment="1">
      <alignment horizontal="left" vertical="top" wrapText="1"/>
    </xf>
    <xf numFmtId="0" fontId="2" fillId="24" borderId="12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2" fillId="24" borderId="0" xfId="0" applyFont="1" applyFill="1" applyBorder="1" applyAlignment="1">
      <alignment horizontal="justify" vertical="justify" wrapText="1"/>
    </xf>
    <xf numFmtId="0" fontId="42" fillId="0" borderId="0" xfId="0" applyFont="1" applyAlignment="1">
      <alignment horizontal="justify" vertical="justify" readingOrder="1"/>
    </xf>
    <xf numFmtId="0" fontId="3" fillId="0" borderId="0" xfId="0" applyFont="1" applyAlignment="1">
      <alignment horizontal="justify" vertical="justify"/>
    </xf>
    <xf numFmtId="0" fontId="42" fillId="0" borderId="0" xfId="0" applyFont="1" applyAlignment="1">
      <alignment horizontal="left" vertical="justify" readingOrder="1"/>
    </xf>
    <xf numFmtId="0" fontId="5" fillId="24" borderId="0" xfId="0" applyFont="1" applyFill="1" applyBorder="1" applyAlignment="1">
      <alignment horizontal="left" vertical="justify"/>
    </xf>
    <xf numFmtId="0" fontId="2" fillId="0" borderId="0" xfId="0" applyFont="1" applyAlignment="1">
      <alignment horizontal="justify" vertical="justify" wrapText="1"/>
    </xf>
    <xf numFmtId="0" fontId="2" fillId="24" borderId="12" xfId="0" applyFont="1" applyFill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0" fontId="2" fillId="24" borderId="14" xfId="0" applyFont="1" applyFill="1" applyBorder="1" applyAlignment="1">
      <alignment horizontal="justify" vertical="top" wrapText="1"/>
    </xf>
    <xf numFmtId="0" fontId="2" fillId="24" borderId="12" xfId="0" applyFont="1" applyFill="1" applyBorder="1" applyAlignment="1">
      <alignment horizontal="justify" vertical="justify" wrapText="1"/>
    </xf>
    <xf numFmtId="0" fontId="2" fillId="24" borderId="14" xfId="0" applyFont="1" applyFill="1" applyBorder="1" applyAlignment="1">
      <alignment horizontal="justify" vertical="justify" wrapText="1"/>
    </xf>
    <xf numFmtId="0" fontId="2" fillId="24" borderId="12" xfId="0" applyFont="1" applyFill="1" applyBorder="1" applyAlignment="1">
      <alignment horizontal="left" vertical="top"/>
    </xf>
    <xf numFmtId="0" fontId="2" fillId="24" borderId="14" xfId="0" applyFont="1" applyFill="1" applyBorder="1" applyAlignment="1">
      <alignment horizontal="left" vertical="top"/>
    </xf>
    <xf numFmtId="0" fontId="2" fillId="24" borderId="12" xfId="0" applyFont="1" applyFill="1" applyBorder="1" applyAlignment="1">
      <alignment horizontal="justify" vertical="top"/>
    </xf>
    <xf numFmtId="0" fontId="2" fillId="24" borderId="14" xfId="0" applyFont="1" applyFill="1" applyBorder="1" applyAlignment="1">
      <alignment horizontal="justify" vertical="top"/>
    </xf>
    <xf numFmtId="0" fontId="2" fillId="0" borderId="12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24" borderId="15" xfId="0" applyFont="1" applyFill="1" applyBorder="1" applyAlignment="1">
      <alignment horizontal="justify" vertical="top"/>
    </xf>
    <xf numFmtId="0" fontId="2" fillId="24" borderId="15" xfId="0" applyFont="1" applyFill="1" applyBorder="1" applyAlignment="1">
      <alignment horizontal="left" vertical="top"/>
    </xf>
    <xf numFmtId="0" fontId="2" fillId="24" borderId="15" xfId="0" applyFont="1" applyFill="1" applyBorder="1" applyAlignment="1">
      <alignment horizontal="justify" vertical="top" wrapText="1"/>
    </xf>
    <xf numFmtId="0" fontId="2" fillId="24" borderId="15" xfId="0" applyFont="1" applyFill="1" applyBorder="1" applyAlignment="1">
      <alignment horizontal="justify" vertical="justify"/>
    </xf>
    <xf numFmtId="0" fontId="2" fillId="24" borderId="15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/>
    </xf>
    <xf numFmtId="0" fontId="1" fillId="24" borderId="0" xfId="0" applyFont="1" applyFill="1" applyBorder="1" applyAlignment="1">
      <alignment horizontal="left" vertical="top" wrapText="1"/>
    </xf>
    <xf numFmtId="0" fontId="2" fillId="24" borderId="12" xfId="0" applyFont="1" applyFill="1" applyBorder="1" applyAlignment="1">
      <alignment horizontal="left" vertical="center" wrapText="1"/>
    </xf>
    <xf numFmtId="0" fontId="2" fillId="24" borderId="14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justify" vertical="top" wrapText="1"/>
    </xf>
    <xf numFmtId="0" fontId="2" fillId="24" borderId="12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11" borderId="45" xfId="0" applyFont="1" applyFill="1" applyBorder="1" applyAlignment="1">
      <alignment horizontal="center"/>
    </xf>
    <xf numFmtId="0" fontId="11" fillId="11" borderId="46" xfId="0" applyFont="1" applyFill="1" applyBorder="1" applyAlignment="1">
      <alignment horizontal="center"/>
    </xf>
    <xf numFmtId="0" fontId="11" fillId="11" borderId="47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justify" vertical="justify" wrapText="1"/>
    </xf>
    <xf numFmtId="0" fontId="22" fillId="0" borderId="0" xfId="0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5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24" borderId="0" xfId="0" applyFont="1" applyFill="1" applyBorder="1" applyAlignment="1">
      <alignment horizontal="justify" vertical="justify"/>
    </xf>
    <xf numFmtId="188" fontId="51" fillId="24" borderId="0" xfId="0" applyNumberFormat="1" applyFont="1" applyFill="1" applyAlignment="1">
      <alignment horizontal="center"/>
    </xf>
    <xf numFmtId="4" fontId="50" fillId="0" borderId="0" xfId="0" applyNumberFormat="1" applyFont="1" applyFill="1" applyAlignment="1">
      <alignment horizontal="right"/>
    </xf>
    <xf numFmtId="0" fontId="50" fillId="24" borderId="0" xfId="0" applyFont="1" applyFill="1" applyAlignment="1">
      <alignment horizontal="justify"/>
    </xf>
    <xf numFmtId="0" fontId="50" fillId="24" borderId="0" xfId="0" applyFont="1" applyFill="1" applyBorder="1" applyAlignment="1">
      <alignment horizontal="left" vertical="justify"/>
    </xf>
    <xf numFmtId="0" fontId="50" fillId="24" borderId="0" xfId="0" applyFont="1" applyFill="1" applyBorder="1" applyAlignment="1">
      <alignment horizontal="left"/>
    </xf>
    <xf numFmtId="4" fontId="50" fillId="0" borderId="0" xfId="0" applyNumberFormat="1" applyFont="1" applyFill="1" applyBorder="1" applyAlignment="1">
      <alignment horizontal="right"/>
    </xf>
    <xf numFmtId="0" fontId="50" fillId="24" borderId="0" xfId="0" applyFont="1" applyFill="1" applyBorder="1" applyAlignment="1">
      <alignment horizontal="centerContinuous" vertical="justify"/>
    </xf>
    <xf numFmtId="0" fontId="50" fillId="24" borderId="0" xfId="0" applyFont="1" applyFill="1" applyBorder="1" applyAlignment="1">
      <alignment horizontal="centerContinuous"/>
    </xf>
    <xf numFmtId="4" fontId="50" fillId="0" borderId="0" xfId="0" applyNumberFormat="1" applyFont="1" applyFill="1" applyBorder="1" applyAlignment="1">
      <alignment horizontal="centerContinuous"/>
    </xf>
    <xf numFmtId="0" fontId="53" fillId="24" borderId="0" xfId="0" applyFont="1" applyFill="1" applyBorder="1" applyAlignment="1">
      <alignment horizontal="justify" vertical="justify" wrapText="1"/>
    </xf>
    <xf numFmtId="0" fontId="54" fillId="0" borderId="0" xfId="0" applyFont="1" applyAlignment="1">
      <alignment horizontal="justify" vertical="justify" readingOrder="1"/>
    </xf>
    <xf numFmtId="0" fontId="52" fillId="0" borderId="0" xfId="0" applyFont="1" applyAlignment="1">
      <alignment horizontal="justify" vertical="justify"/>
    </xf>
    <xf numFmtId="0" fontId="54" fillId="0" borderId="0" xfId="0" applyFont="1" applyAlignment="1">
      <alignment horizontal="left" vertical="justify" readingOrder="1"/>
    </xf>
    <xf numFmtId="0" fontId="51" fillId="24" borderId="0" xfId="0" applyFont="1" applyFill="1" applyBorder="1" applyAlignment="1">
      <alignment horizontal="center" vertical="justify"/>
    </xf>
    <xf numFmtId="4" fontId="50" fillId="0" borderId="0" xfId="0" applyNumberFormat="1" applyFont="1" applyFill="1" applyBorder="1" applyAlignment="1">
      <alignment horizontal="right" vertical="justify"/>
    </xf>
    <xf numFmtId="0" fontId="50" fillId="24" borderId="0" xfId="0" applyFont="1" applyFill="1" applyBorder="1" applyAlignment="1">
      <alignment horizontal="left" vertical="justify"/>
    </xf>
    <xf numFmtId="0" fontId="51" fillId="24" borderId="0" xfId="0" applyFont="1" applyFill="1" applyBorder="1" applyAlignment="1">
      <alignment horizontal="center" vertical="justify"/>
    </xf>
    <xf numFmtId="0" fontId="53" fillId="0" borderId="0" xfId="0" applyFont="1" applyAlignment="1">
      <alignment horizontal="justify" vertical="justify" wrapText="1"/>
    </xf>
    <xf numFmtId="0" fontId="53" fillId="0" borderId="0" xfId="0" applyFont="1" applyBorder="1" applyAlignment="1">
      <alignment/>
    </xf>
    <xf numFmtId="0" fontId="57" fillId="24" borderId="0" xfId="0" applyFont="1" applyFill="1" applyBorder="1" applyAlignment="1">
      <alignment horizontal="justify" vertical="justify"/>
    </xf>
    <xf numFmtId="0" fontId="53" fillId="24" borderId="0" xfId="0" applyFont="1" applyFill="1" applyAlignment="1">
      <alignment/>
    </xf>
    <xf numFmtId="4" fontId="53" fillId="0" borderId="0" xfId="0" applyNumberFormat="1" applyFont="1" applyFill="1" applyAlignment="1">
      <alignment horizontal="right"/>
    </xf>
    <xf numFmtId="0" fontId="53" fillId="0" borderId="0" xfId="0" applyFont="1" applyAlignment="1">
      <alignment/>
    </xf>
    <xf numFmtId="0" fontId="53" fillId="0" borderId="10" xfId="0" applyFont="1" applyBorder="1" applyAlignment="1">
      <alignment/>
    </xf>
    <xf numFmtId="0" fontId="53" fillId="0" borderId="11" xfId="0" applyFont="1" applyBorder="1" applyAlignment="1">
      <alignment/>
    </xf>
    <xf numFmtId="0" fontId="53" fillId="24" borderId="12" xfId="0" applyFont="1" applyFill="1" applyBorder="1" applyAlignment="1">
      <alignment horizontal="justify" vertical="top" wrapText="1"/>
    </xf>
    <xf numFmtId="0" fontId="53" fillId="0" borderId="14" xfId="0" applyFont="1" applyBorder="1" applyAlignment="1">
      <alignment horizontal="justify" vertical="top" wrapText="1"/>
    </xf>
    <xf numFmtId="4" fontId="53" fillId="0" borderId="13" xfId="0" applyNumberFormat="1" applyFont="1" applyFill="1" applyBorder="1" applyAlignment="1">
      <alignment horizontal="right"/>
    </xf>
    <xf numFmtId="0" fontId="53" fillId="0" borderId="13" xfId="0" applyFont="1" applyBorder="1" applyAlignment="1">
      <alignment/>
    </xf>
    <xf numFmtId="0" fontId="53" fillId="24" borderId="14" xfId="0" applyFont="1" applyFill="1" applyBorder="1" applyAlignment="1">
      <alignment horizontal="justify" vertical="top" wrapText="1"/>
    </xf>
    <xf numFmtId="0" fontId="53" fillId="24" borderId="0" xfId="0" applyFont="1" applyFill="1" applyBorder="1" applyAlignment="1">
      <alignment horizontal="justify" vertical="justify"/>
    </xf>
    <xf numFmtId="4" fontId="58" fillId="0" borderId="0" xfId="0" applyNumberFormat="1" applyFont="1" applyFill="1" applyAlignment="1">
      <alignment horizontal="right"/>
    </xf>
    <xf numFmtId="0" fontId="53" fillId="24" borderId="15" xfId="0" applyFont="1" applyFill="1" applyBorder="1" applyAlignment="1">
      <alignment horizontal="justify" vertical="justify"/>
    </xf>
    <xf numFmtId="0" fontId="53" fillId="24" borderId="15" xfId="0" applyFont="1" applyFill="1" applyBorder="1" applyAlignment="1">
      <alignment/>
    </xf>
    <xf numFmtId="0" fontId="53" fillId="24" borderId="12" xfId="0" applyFont="1" applyFill="1" applyBorder="1" applyAlignment="1">
      <alignment horizontal="justify" vertical="justify"/>
    </xf>
    <xf numFmtId="0" fontId="53" fillId="24" borderId="14" xfId="0" applyFont="1" applyFill="1" applyBorder="1" applyAlignment="1">
      <alignment/>
    </xf>
    <xf numFmtId="0" fontId="57" fillId="24" borderId="0" xfId="0" applyFont="1" applyFill="1" applyBorder="1" applyAlignment="1">
      <alignment horizontal="justify" vertical="top" wrapText="1"/>
    </xf>
    <xf numFmtId="0" fontId="53" fillId="0" borderId="0" xfId="0" applyFont="1" applyAlignment="1">
      <alignment horizontal="justify" vertical="top" wrapText="1"/>
    </xf>
    <xf numFmtId="0" fontId="53" fillId="24" borderId="12" xfId="0" applyFont="1" applyFill="1" applyBorder="1" applyAlignment="1">
      <alignment horizontal="left" vertical="justify"/>
    </xf>
    <xf numFmtId="0" fontId="53" fillId="24" borderId="14" xfId="0" applyFont="1" applyFill="1" applyBorder="1" applyAlignment="1">
      <alignment horizontal="left" vertical="justify"/>
    </xf>
    <xf numFmtId="0" fontId="57" fillId="24" borderId="10" xfId="0" applyFont="1" applyFill="1" applyBorder="1" applyAlignment="1">
      <alignment horizontal="left" vertical="justify"/>
    </xf>
    <xf numFmtId="4" fontId="53" fillId="24" borderId="15" xfId="0" applyNumberFormat="1" applyFont="1" applyFill="1" applyBorder="1" applyAlignment="1">
      <alignment/>
    </xf>
    <xf numFmtId="4" fontId="53" fillId="24" borderId="14" xfId="0" applyNumberFormat="1" applyFont="1" applyFill="1" applyBorder="1" applyAlignment="1">
      <alignment/>
    </xf>
    <xf numFmtId="4" fontId="53" fillId="0" borderId="14" xfId="0" applyNumberFormat="1" applyFont="1" applyFill="1" applyBorder="1" applyAlignment="1">
      <alignment horizontal="right"/>
    </xf>
    <xf numFmtId="0" fontId="53" fillId="24" borderId="16" xfId="0" applyFont="1" applyFill="1" applyBorder="1" applyAlignment="1">
      <alignment horizontal="justify" vertical="justify"/>
    </xf>
    <xf numFmtId="4" fontId="53" fillId="24" borderId="17" xfId="0" applyNumberFormat="1" applyFont="1" applyFill="1" applyBorder="1" applyAlignment="1">
      <alignment/>
    </xf>
    <xf numFmtId="0" fontId="53" fillId="24" borderId="17" xfId="0" applyFont="1" applyFill="1" applyBorder="1" applyAlignment="1">
      <alignment/>
    </xf>
    <xf numFmtId="0" fontId="53" fillId="24" borderId="11" xfId="0" applyFont="1" applyFill="1" applyBorder="1" applyAlignment="1">
      <alignment horizontal="left" vertical="justify"/>
    </xf>
    <xf numFmtId="0" fontId="53" fillId="24" borderId="13" xfId="0" applyFont="1" applyFill="1" applyBorder="1" applyAlignment="1">
      <alignment horizontal="left" vertical="justify"/>
    </xf>
    <xf numFmtId="0" fontId="53" fillId="24" borderId="12" xfId="0" applyFont="1" applyFill="1" applyBorder="1" applyAlignment="1">
      <alignment horizontal="justify" vertical="justify"/>
    </xf>
    <xf numFmtId="0" fontId="53" fillId="24" borderId="14" xfId="0" applyFont="1" applyFill="1" applyBorder="1" applyAlignment="1">
      <alignment horizontal="justify" vertical="justify"/>
    </xf>
    <xf numFmtId="0" fontId="53" fillId="24" borderId="0" xfId="0" applyFont="1" applyFill="1" applyBorder="1" applyAlignment="1">
      <alignment/>
    </xf>
    <xf numFmtId="0" fontId="58" fillId="24" borderId="0" xfId="0" applyFont="1" applyFill="1" applyBorder="1" applyAlignment="1">
      <alignment horizontal="justify" vertical="justify"/>
    </xf>
    <xf numFmtId="4" fontId="53" fillId="0" borderId="0" xfId="0" applyNumberFormat="1" applyFont="1" applyFill="1" applyBorder="1" applyAlignment="1">
      <alignment horizontal="right"/>
    </xf>
    <xf numFmtId="4" fontId="53" fillId="0" borderId="13" xfId="0" applyNumberFormat="1" applyFont="1" applyFill="1" applyBorder="1" applyAlignment="1">
      <alignment/>
    </xf>
    <xf numFmtId="4" fontId="58" fillId="0" borderId="0" xfId="0" applyNumberFormat="1" applyFont="1" applyFill="1" applyBorder="1" applyAlignment="1">
      <alignment/>
    </xf>
    <xf numFmtId="0" fontId="58" fillId="24" borderId="0" xfId="0" applyFont="1" applyFill="1" applyBorder="1" applyAlignment="1">
      <alignment horizontal="left" vertical="justify"/>
    </xf>
    <xf numFmtId="0" fontId="58" fillId="24" borderId="0" xfId="0" applyFont="1" applyFill="1" applyBorder="1" applyAlignment="1">
      <alignment horizontal="center" vertical="justify"/>
    </xf>
    <xf numFmtId="0" fontId="58" fillId="24" borderId="0" xfId="0" applyFont="1" applyFill="1" applyBorder="1" applyAlignment="1">
      <alignment horizontal="center" vertical="justify"/>
    </xf>
    <xf numFmtId="0" fontId="58" fillId="24" borderId="0" xfId="0" applyFont="1" applyFill="1" applyBorder="1" applyAlignment="1">
      <alignment/>
    </xf>
    <xf numFmtId="0" fontId="53" fillId="24" borderId="0" xfId="0" applyFont="1" applyFill="1" applyAlignment="1">
      <alignment horizontal="centerContinuous"/>
    </xf>
    <xf numFmtId="0" fontId="58" fillId="24" borderId="0" xfId="0" applyFont="1" applyFill="1" applyBorder="1" applyAlignment="1">
      <alignment horizontal="justify"/>
    </xf>
    <xf numFmtId="189" fontId="53" fillId="24" borderId="0" xfId="48" applyNumberFormat="1" applyFont="1" applyFill="1" applyAlignment="1">
      <alignment/>
    </xf>
    <xf numFmtId="194" fontId="53" fillId="0" borderId="0" xfId="48" applyNumberFormat="1" applyFont="1" applyAlignment="1">
      <alignment/>
    </xf>
    <xf numFmtId="4" fontId="58" fillId="0" borderId="0" xfId="52" applyNumberFormat="1" applyFont="1" applyFill="1" applyAlignment="1">
      <alignment horizontal="right"/>
    </xf>
    <xf numFmtId="4" fontId="53" fillId="0" borderId="0" xfId="52" applyNumberFormat="1" applyFont="1" applyFill="1" applyAlignment="1">
      <alignment horizontal="right"/>
    </xf>
    <xf numFmtId="0" fontId="53" fillId="24" borderId="18" xfId="0" applyFont="1" applyFill="1" applyBorder="1" applyAlignment="1">
      <alignment horizontal="justify" vertical="justify"/>
    </xf>
    <xf numFmtId="0" fontId="53" fillId="24" borderId="19" xfId="0" applyFont="1" applyFill="1" applyBorder="1" applyAlignment="1">
      <alignment/>
    </xf>
    <xf numFmtId="188" fontId="53" fillId="24" borderId="0" xfId="0" applyNumberFormat="1" applyFont="1" applyFill="1" applyBorder="1" applyAlignment="1">
      <alignment horizontal="right"/>
    </xf>
    <xf numFmtId="4" fontId="58" fillId="0" borderId="0" xfId="52" applyNumberFormat="1" applyFont="1" applyFill="1" applyBorder="1" applyAlignment="1">
      <alignment horizontal="right"/>
    </xf>
    <xf numFmtId="4" fontId="53" fillId="0" borderId="0" xfId="0" applyNumberFormat="1" applyFont="1" applyAlignment="1">
      <alignment/>
    </xf>
    <xf numFmtId="0" fontId="58" fillId="24" borderId="10" xfId="0" applyFont="1" applyFill="1" applyBorder="1" applyAlignment="1">
      <alignment horizontal="justify" vertical="justify"/>
    </xf>
    <xf numFmtId="0" fontId="53" fillId="24" borderId="20" xfId="0" applyFont="1" applyFill="1" applyBorder="1" applyAlignment="1">
      <alignment horizontal="justify" vertical="justify"/>
    </xf>
    <xf numFmtId="0" fontId="53" fillId="24" borderId="20" xfId="0" applyFont="1" applyFill="1" applyBorder="1" applyAlignment="1">
      <alignment/>
    </xf>
    <xf numFmtId="0" fontId="53" fillId="0" borderId="12" xfId="0" applyFont="1" applyBorder="1" applyAlignment="1">
      <alignment/>
    </xf>
    <xf numFmtId="0" fontId="58" fillId="24" borderId="0" xfId="0" applyFont="1" applyFill="1" applyBorder="1" applyAlignment="1">
      <alignment horizontal="justify" vertical="center"/>
    </xf>
    <xf numFmtId="0" fontId="53" fillId="24" borderId="0" xfId="0" applyFont="1" applyFill="1" applyAlignment="1">
      <alignment vertical="center"/>
    </xf>
    <xf numFmtId="4" fontId="58" fillId="0" borderId="0" xfId="0" applyNumberFormat="1" applyFont="1" applyFill="1" applyAlignment="1">
      <alignment horizontal="right" vertical="center"/>
    </xf>
    <xf numFmtId="187" fontId="53" fillId="0" borderId="0" xfId="48" applyFont="1" applyAlignment="1">
      <alignment/>
    </xf>
    <xf numFmtId="0" fontId="57" fillId="24" borderId="0" xfId="0" applyFont="1" applyFill="1" applyBorder="1" applyAlignment="1">
      <alignment horizontal="left" vertical="justify"/>
    </xf>
    <xf numFmtId="0" fontId="58" fillId="24" borderId="0" xfId="0" applyFont="1" applyFill="1" applyBorder="1" applyAlignment="1">
      <alignment horizontal="left" vertical="justify"/>
    </xf>
    <xf numFmtId="0" fontId="53" fillId="24" borderId="12" xfId="0" applyFont="1" applyFill="1" applyBorder="1" applyAlignment="1">
      <alignment horizontal="justify"/>
    </xf>
    <xf numFmtId="0" fontId="53" fillId="24" borderId="14" xfId="0" applyFont="1" applyFill="1" applyBorder="1" applyAlignment="1">
      <alignment horizontal="justify"/>
    </xf>
    <xf numFmtId="0" fontId="53" fillId="24" borderId="12" xfId="0" applyFont="1" applyFill="1" applyBorder="1" applyAlignment="1">
      <alignment horizontal="justify"/>
    </xf>
    <xf numFmtId="0" fontId="53" fillId="24" borderId="14" xfId="0" applyFont="1" applyFill="1" applyBorder="1" applyAlignment="1">
      <alignment horizontal="justify"/>
    </xf>
    <xf numFmtId="0" fontId="58" fillId="0" borderId="10" xfId="0" applyFont="1" applyBorder="1" applyAlignment="1">
      <alignment/>
    </xf>
    <xf numFmtId="4" fontId="53" fillId="24" borderId="13" xfId="0" applyNumberFormat="1" applyFont="1" applyFill="1" applyBorder="1" applyAlignment="1">
      <alignment horizontal="right"/>
    </xf>
    <xf numFmtId="0" fontId="57" fillId="24" borderId="0" xfId="0" applyFont="1" applyFill="1" applyBorder="1" applyAlignment="1">
      <alignment horizontal="left" vertical="top" wrapText="1"/>
    </xf>
    <xf numFmtId="0" fontId="57" fillId="24" borderId="10" xfId="0" applyFont="1" applyFill="1" applyBorder="1" applyAlignment="1">
      <alignment horizontal="left" vertical="top" wrapText="1"/>
    </xf>
    <xf numFmtId="0" fontId="53" fillId="24" borderId="0" xfId="0" applyFont="1" applyFill="1" applyBorder="1" applyAlignment="1">
      <alignment horizontal="left" vertical="top" wrapText="1"/>
    </xf>
    <xf numFmtId="0" fontId="59" fillId="24" borderId="0" xfId="0" applyFont="1" applyFill="1" applyBorder="1" applyAlignment="1">
      <alignment horizontal="left" vertical="top" wrapText="1"/>
    </xf>
    <xf numFmtId="4" fontId="53" fillId="0" borderId="0" xfId="52" applyNumberFormat="1" applyFont="1" applyFill="1" applyBorder="1" applyAlignment="1">
      <alignment horizontal="right"/>
    </xf>
    <xf numFmtId="1" fontId="58" fillId="0" borderId="0" xfId="0" applyNumberFormat="1" applyFont="1" applyFill="1" applyBorder="1" applyAlignment="1">
      <alignment vertical="top"/>
    </xf>
    <xf numFmtId="0" fontId="58" fillId="24" borderId="0" xfId="0" applyFont="1" applyFill="1" applyBorder="1" applyAlignment="1">
      <alignment vertical="top"/>
    </xf>
    <xf numFmtId="0" fontId="58" fillId="24" borderId="0" xfId="0" applyFont="1" applyFill="1" applyBorder="1" applyAlignment="1">
      <alignment horizontal="left"/>
    </xf>
    <xf numFmtId="0" fontId="58" fillId="24" borderId="0" xfId="0" applyFont="1" applyFill="1" applyBorder="1" applyAlignment="1">
      <alignment horizontal="left" vertical="center" wrapText="1"/>
    </xf>
    <xf numFmtId="0" fontId="58" fillId="24" borderId="0" xfId="0" applyFont="1" applyFill="1" applyBorder="1" applyAlignment="1">
      <alignment horizontal="justify" vertical="top" wrapText="1"/>
    </xf>
    <xf numFmtId="4" fontId="58" fillId="24" borderId="0" xfId="52" applyNumberFormat="1" applyFont="1" applyFill="1" applyBorder="1" applyAlignment="1">
      <alignment horizontal="right" vertical="center" wrapText="1"/>
    </xf>
    <xf numFmtId="0" fontId="53" fillId="24" borderId="15" xfId="0" applyFont="1" applyFill="1" applyBorder="1" applyAlignment="1">
      <alignment horizontal="justify" vertical="top" wrapText="1"/>
    </xf>
    <xf numFmtId="4" fontId="53" fillId="0" borderId="13" xfId="52" applyNumberFormat="1" applyFont="1" applyFill="1" applyBorder="1" applyAlignment="1">
      <alignment horizontal="right" wrapText="1"/>
    </xf>
    <xf numFmtId="0" fontId="53" fillId="24" borderId="12" xfId="0" applyFont="1" applyFill="1" applyBorder="1" applyAlignment="1">
      <alignment horizontal="left" vertical="top" wrapText="1"/>
    </xf>
    <xf numFmtId="0" fontId="53" fillId="24" borderId="14" xfId="0" applyFont="1" applyFill="1" applyBorder="1" applyAlignment="1">
      <alignment horizontal="left" vertical="top" wrapText="1"/>
    </xf>
    <xf numFmtId="0" fontId="58" fillId="24" borderId="0" xfId="0" applyFont="1" applyFill="1" applyBorder="1" applyAlignment="1">
      <alignment/>
    </xf>
    <xf numFmtId="0" fontId="58" fillId="24" borderId="0" xfId="0" applyFont="1" applyFill="1" applyAlignment="1">
      <alignment/>
    </xf>
    <xf numFmtId="0" fontId="57" fillId="24" borderId="0" xfId="0" applyFont="1" applyFill="1" applyBorder="1" applyAlignment="1">
      <alignment horizontal="left" vertical="center" wrapText="1"/>
    </xf>
    <xf numFmtId="0" fontId="57" fillId="24" borderId="0" xfId="0" applyFont="1" applyFill="1" applyBorder="1" applyAlignment="1">
      <alignment horizontal="justify" vertical="top" wrapText="1"/>
    </xf>
    <xf numFmtId="4" fontId="58" fillId="0" borderId="0" xfId="52" applyNumberFormat="1" applyFont="1" applyFill="1" applyBorder="1" applyAlignment="1">
      <alignment horizontal="right" vertical="center" wrapText="1"/>
    </xf>
    <xf numFmtId="4" fontId="53" fillId="24" borderId="13" xfId="52" applyNumberFormat="1" applyFont="1" applyFill="1" applyBorder="1" applyAlignment="1">
      <alignment horizontal="right"/>
    </xf>
    <xf numFmtId="0" fontId="53" fillId="24" borderId="15" xfId="0" applyFont="1" applyFill="1" applyBorder="1" applyAlignment="1">
      <alignment horizontal="justify" vertical="top"/>
    </xf>
    <xf numFmtId="0" fontId="53" fillId="24" borderId="14" xfId="0" applyFont="1" applyFill="1" applyBorder="1" applyAlignment="1">
      <alignment horizontal="justify" vertical="top"/>
    </xf>
    <xf numFmtId="4" fontId="58" fillId="24" borderId="0" xfId="0" applyNumberFormat="1" applyFont="1" applyFill="1" applyAlignment="1">
      <alignment horizontal="right"/>
    </xf>
    <xf numFmtId="4" fontId="53" fillId="24" borderId="0" xfId="0" applyNumberFormat="1" applyFont="1" applyFill="1" applyAlignment="1">
      <alignment horizontal="right"/>
    </xf>
    <xf numFmtId="4" fontId="57" fillId="24" borderId="0" xfId="52" applyNumberFormat="1" applyFont="1" applyFill="1" applyBorder="1" applyAlignment="1">
      <alignment horizontal="right"/>
    </xf>
    <xf numFmtId="4" fontId="53" fillId="0" borderId="13" xfId="52" applyNumberFormat="1" applyFont="1" applyFill="1" applyBorder="1" applyAlignment="1">
      <alignment horizontal="right"/>
    </xf>
    <xf numFmtId="0" fontId="53" fillId="24" borderId="12" xfId="0" applyFont="1" applyFill="1" applyBorder="1" applyAlignment="1">
      <alignment horizontal="justify" vertical="justify" wrapText="1"/>
    </xf>
    <xf numFmtId="0" fontId="53" fillId="24" borderId="14" xfId="0" applyFont="1" applyFill="1" applyBorder="1" applyAlignment="1">
      <alignment horizontal="justify" vertical="justify" wrapText="1"/>
    </xf>
    <xf numFmtId="0" fontId="53" fillId="24" borderId="12" xfId="0" applyFont="1" applyFill="1" applyBorder="1" applyAlignment="1">
      <alignment horizontal="left" vertical="top"/>
    </xf>
    <xf numFmtId="0" fontId="53" fillId="24" borderId="14" xfId="0" applyFont="1" applyFill="1" applyBorder="1" applyAlignment="1">
      <alignment horizontal="left" vertical="top"/>
    </xf>
    <xf numFmtId="0" fontId="53" fillId="24" borderId="12" xfId="0" applyFont="1" applyFill="1" applyBorder="1" applyAlignment="1">
      <alignment horizontal="justify" vertical="top"/>
    </xf>
    <xf numFmtId="0" fontId="53" fillId="24" borderId="14" xfId="0" applyFont="1" applyFill="1" applyBorder="1" applyAlignment="1">
      <alignment horizontal="justify" vertical="top"/>
    </xf>
    <xf numFmtId="0" fontId="53" fillId="24" borderId="12" xfId="0" applyFont="1" applyFill="1" applyBorder="1" applyAlignment="1">
      <alignment vertical="top"/>
    </xf>
    <xf numFmtId="0" fontId="53" fillId="24" borderId="14" xfId="0" applyFont="1" applyFill="1" applyBorder="1" applyAlignment="1">
      <alignment horizontal="left" vertical="top"/>
    </xf>
    <xf numFmtId="0" fontId="53" fillId="0" borderId="12" xfId="0" applyFont="1" applyBorder="1" applyAlignment="1">
      <alignment horizontal="left"/>
    </xf>
    <xf numFmtId="0" fontId="53" fillId="0" borderId="14" xfId="0" applyFont="1" applyBorder="1" applyAlignment="1">
      <alignment horizontal="left"/>
    </xf>
    <xf numFmtId="0" fontId="57" fillId="24" borderId="0" xfId="0" applyFont="1" applyFill="1" applyBorder="1" applyAlignment="1">
      <alignment horizontal="left" vertical="top" wrapText="1"/>
    </xf>
    <xf numFmtId="0" fontId="53" fillId="24" borderId="12" xfId="0" applyFont="1" applyFill="1" applyBorder="1" applyAlignment="1">
      <alignment horizontal="left" vertical="top"/>
    </xf>
    <xf numFmtId="0" fontId="60" fillId="24" borderId="0" xfId="0" applyFont="1" applyFill="1" applyAlignment="1">
      <alignment/>
    </xf>
    <xf numFmtId="0" fontId="53" fillId="24" borderId="0" xfId="0" applyFont="1" applyFill="1" applyBorder="1" applyAlignment="1">
      <alignment horizontal="left" vertical="top"/>
    </xf>
    <xf numFmtId="0" fontId="57" fillId="24" borderId="0" xfId="0" applyFont="1" applyFill="1" applyBorder="1" applyAlignment="1">
      <alignment horizontal="left" vertical="top"/>
    </xf>
    <xf numFmtId="4" fontId="58" fillId="24" borderId="0" xfId="52" applyNumberFormat="1" applyFont="1" applyFill="1" applyBorder="1" applyAlignment="1">
      <alignment horizontal="right"/>
    </xf>
    <xf numFmtId="4" fontId="53" fillId="24" borderId="0" xfId="52" applyNumberFormat="1" applyFont="1" applyFill="1" applyBorder="1" applyAlignment="1">
      <alignment horizontal="right"/>
    </xf>
    <xf numFmtId="0" fontId="53" fillId="24" borderId="15" xfId="0" applyFont="1" applyFill="1" applyBorder="1" applyAlignment="1">
      <alignment horizontal="justify" vertical="top"/>
    </xf>
    <xf numFmtId="0" fontId="53" fillId="24" borderId="15" xfId="0" applyFont="1" applyFill="1" applyBorder="1" applyAlignment="1">
      <alignment horizontal="left" vertical="top"/>
    </xf>
    <xf numFmtId="0" fontId="53" fillId="24" borderId="15" xfId="0" applyFont="1" applyFill="1" applyBorder="1" applyAlignment="1">
      <alignment horizontal="left" vertical="top"/>
    </xf>
    <xf numFmtId="0" fontId="53" fillId="24" borderId="15" xfId="0" applyFont="1" applyFill="1" applyBorder="1" applyAlignment="1">
      <alignment horizontal="justify" vertical="top" wrapText="1"/>
    </xf>
    <xf numFmtId="0" fontId="53" fillId="24" borderId="12" xfId="0" applyFont="1" applyFill="1" applyBorder="1" applyAlignment="1">
      <alignment horizontal="left" vertical="justify"/>
    </xf>
    <xf numFmtId="0" fontId="53" fillId="24" borderId="15" xfId="0" applyFont="1" applyFill="1" applyBorder="1" applyAlignment="1">
      <alignment horizontal="justify" vertical="justify"/>
    </xf>
    <xf numFmtId="0" fontId="53" fillId="24" borderId="15" xfId="0" applyFont="1" applyFill="1" applyBorder="1" applyAlignment="1">
      <alignment horizontal="left" vertical="top" wrapText="1"/>
    </xf>
    <xf numFmtId="0" fontId="53" fillId="24" borderId="12" xfId="0" applyFont="1" applyFill="1" applyBorder="1" applyAlignment="1">
      <alignment horizontal="left" vertical="top" wrapText="1"/>
    </xf>
    <xf numFmtId="0" fontId="53" fillId="24" borderId="15" xfId="0" applyFont="1" applyFill="1" applyBorder="1" applyAlignment="1">
      <alignment horizontal="left" vertical="top" wrapText="1"/>
    </xf>
    <xf numFmtId="0" fontId="53" fillId="24" borderId="12" xfId="0" applyFont="1" applyFill="1" applyBorder="1" applyAlignment="1">
      <alignment/>
    </xf>
    <xf numFmtId="0" fontId="53" fillId="0" borderId="14" xfId="0" applyFont="1" applyBorder="1" applyAlignment="1">
      <alignment/>
    </xf>
    <xf numFmtId="0" fontId="58" fillId="24" borderId="0" xfId="0" applyFont="1" applyFill="1" applyBorder="1" applyAlignment="1">
      <alignment horizontal="center" vertical="top" wrapText="1"/>
    </xf>
    <xf numFmtId="0" fontId="58" fillId="24" borderId="0" xfId="0" applyFont="1" applyFill="1" applyBorder="1" applyAlignment="1">
      <alignment horizontal="left" vertical="top" wrapText="1"/>
    </xf>
    <xf numFmtId="4" fontId="58" fillId="24" borderId="0" xfId="52" applyNumberFormat="1" applyFont="1" applyFill="1" applyBorder="1" applyAlignment="1">
      <alignment horizontal="right" vertical="top"/>
    </xf>
    <xf numFmtId="0" fontId="53" fillId="24" borderId="12" xfId="0" applyFont="1" applyFill="1" applyBorder="1" applyAlignment="1">
      <alignment vertical="center" wrapText="1"/>
    </xf>
    <xf numFmtId="0" fontId="58" fillId="24" borderId="15" xfId="0" applyFont="1" applyFill="1" applyBorder="1" applyAlignment="1">
      <alignment horizontal="justify" vertical="center" wrapText="1"/>
    </xf>
    <xf numFmtId="4" fontId="53" fillId="24" borderId="13" xfId="52" applyNumberFormat="1" applyFont="1" applyFill="1" applyBorder="1" applyAlignment="1">
      <alignment horizontal="right" vertical="center"/>
    </xf>
    <xf numFmtId="0" fontId="53" fillId="24" borderId="12" xfId="0" applyFont="1" applyFill="1" applyBorder="1" applyAlignment="1">
      <alignment horizontal="left" vertical="center" wrapText="1"/>
    </xf>
    <xf numFmtId="0" fontId="53" fillId="24" borderId="14" xfId="0" applyFont="1" applyFill="1" applyBorder="1" applyAlignment="1">
      <alignment horizontal="left" vertical="center" wrapText="1"/>
    </xf>
    <xf numFmtId="0" fontId="53" fillId="24" borderId="12" xfId="0" applyFont="1" applyFill="1" applyBorder="1" applyAlignment="1">
      <alignment horizontal="justify" vertical="top" wrapText="1"/>
    </xf>
    <xf numFmtId="0" fontId="53" fillId="24" borderId="12" xfId="0" applyFont="1" applyFill="1" applyBorder="1" applyAlignment="1">
      <alignment vertical="center" wrapText="1"/>
    </xf>
    <xf numFmtId="0" fontId="61" fillId="0" borderId="14" xfId="0" applyFont="1" applyBorder="1" applyAlignment="1">
      <alignment vertical="center" wrapText="1"/>
    </xf>
    <xf numFmtId="4" fontId="53" fillId="24" borderId="13" xfId="0" applyNumberFormat="1" applyFont="1" applyFill="1" applyBorder="1" applyAlignment="1">
      <alignment horizontal="right" wrapText="1"/>
    </xf>
    <xf numFmtId="0" fontId="61" fillId="0" borderId="14" xfId="0" applyFont="1" applyBorder="1" applyAlignment="1">
      <alignment horizontal="justify" vertical="top" wrapText="1"/>
    </xf>
    <xf numFmtId="0" fontId="53" fillId="24" borderId="14" xfId="0" applyFont="1" applyFill="1" applyBorder="1" applyAlignment="1">
      <alignment horizontal="justify" vertical="top" wrapText="1"/>
    </xf>
    <xf numFmtId="4" fontId="58" fillId="0" borderId="21" xfId="52" applyNumberFormat="1" applyFont="1" applyFill="1" applyBorder="1" applyAlignment="1">
      <alignment horizontal="right"/>
    </xf>
    <xf numFmtId="0" fontId="58" fillId="0" borderId="0" xfId="0" applyFont="1" applyAlignment="1">
      <alignment/>
    </xf>
    <xf numFmtId="0" fontId="53" fillId="0" borderId="0" xfId="0" applyFont="1" applyAlignment="1">
      <alignment horizontal="left"/>
    </xf>
    <xf numFmtId="4" fontId="53" fillId="0" borderId="0" xfId="0" applyNumberFormat="1" applyFont="1" applyFill="1" applyAlignment="1">
      <alignment horizontal="left"/>
    </xf>
    <xf numFmtId="0" fontId="58" fillId="0" borderId="0" xfId="0" applyFont="1" applyAlignment="1">
      <alignment horizontal="left"/>
    </xf>
    <xf numFmtId="4" fontId="58" fillId="0" borderId="0" xfId="0" applyNumberFormat="1" applyFont="1" applyAlignment="1">
      <alignment horizontal="left"/>
    </xf>
    <xf numFmtId="0" fontId="62" fillId="0" borderId="0" xfId="0" applyFont="1" applyAlignment="1">
      <alignment/>
    </xf>
    <xf numFmtId="4" fontId="52" fillId="0" borderId="0" xfId="0" applyNumberFormat="1" applyFont="1" applyFill="1" applyAlignment="1">
      <alignment horizontal="right"/>
    </xf>
    <xf numFmtId="0" fontId="5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 horizontal="center"/>
    </xf>
    <xf numFmtId="0" fontId="51" fillId="0" borderId="0" xfId="0" applyFont="1" applyAlignment="1">
      <alignment/>
    </xf>
    <xf numFmtId="0" fontId="62" fillId="0" borderId="0" xfId="0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ANEXO No. 1 PRESUPUESTO 2008" xfId="50"/>
    <cellStyle name="Millares_PROYECCION NOMINA 2008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1019175</xdr:colOff>
      <xdr:row>6</xdr:row>
      <xdr:rowOff>76200</xdr:rowOff>
    </xdr:from>
    <xdr:to>
      <xdr:col>3</xdr:col>
      <xdr:colOff>1143000</xdr:colOff>
      <xdr:row>11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019175" y="1800225"/>
          <a:ext cx="7191375" cy="1409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Concejo Municipal de MEDINA CUNDINAMARCA en uso de las atribuciones constitucionales y legales conferidas por el articulo 313 numeral 5 de la Constitución Política por el articulo 92 numeral 5 del decreto 1333 de 1,986, y por la ley 136 de 1,994 y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CONSIDERANDO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1685925</xdr:colOff>
      <xdr:row>2</xdr:row>
      <xdr:rowOff>0</xdr:rowOff>
    </xdr:from>
    <xdr:to>
      <xdr:col>3</xdr:col>
      <xdr:colOff>895350</xdr:colOff>
      <xdr:row>5</xdr:row>
      <xdr:rowOff>219075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714625" y="419100"/>
          <a:ext cx="5248275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 MEDIO DEL CUAL SE  AJUSTA  EL ACUERDO No. 012 DE 2007 EN EL QUE SE EXPIDIO EL PRESUPUESTO GENERAL DE INGRESOS Y EGRESOS DEL MUNICIPIO DE MEDINA CUNDINAMARCA PARA LA VIGENCIA 2.008 Y SE ADICIONA LA ULTIMA DOCEAVA DE 2007.</a:t>
          </a:r>
        </a:p>
      </xdr:txBody>
    </xdr:sp>
    <xdr:clientData/>
  </xdr:twoCellAnchor>
  <xdr:twoCellAnchor>
    <xdr:from>
      <xdr:col>1</xdr:col>
      <xdr:colOff>762000</xdr:colOff>
      <xdr:row>29</xdr:row>
      <xdr:rowOff>0</xdr:rowOff>
    </xdr:from>
    <xdr:to>
      <xdr:col>3</xdr:col>
      <xdr:colOff>1209675</xdr:colOff>
      <xdr:row>29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1790700" y="7658100"/>
          <a:ext cx="6486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123825</xdr:rowOff>
    </xdr:from>
    <xdr:to>
      <xdr:col>1</xdr:col>
      <xdr:colOff>1647825</xdr:colOff>
      <xdr:row>6</xdr:row>
      <xdr:rowOff>85725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333375" y="123825"/>
          <a:ext cx="234315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 DE COLOMBIA
DEPARTAMENTO DE CUNDINAMARCA</a:t>
          </a:r>
          <a:r>
            <a:rPr lang="en-US" cap="none" sz="9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MUNICIPIO DE MEDINA
CONCEJO  MUNICIPAL
VIGENCIA 2008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323850</xdr:colOff>
      <xdr:row>2</xdr:row>
      <xdr:rowOff>161925</xdr:rowOff>
    </xdr:from>
    <xdr:to>
      <xdr:col>1</xdr:col>
      <xdr:colOff>866775</xdr:colOff>
      <xdr:row>5</xdr:row>
      <xdr:rowOff>152400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581025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29</xdr:row>
      <xdr:rowOff>123825</xdr:rowOff>
    </xdr:from>
    <xdr:to>
      <xdr:col>1</xdr:col>
      <xdr:colOff>371475</xdr:colOff>
      <xdr:row>30</xdr:row>
      <xdr:rowOff>142875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57150" y="7781925"/>
          <a:ext cx="1343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30</xdr:row>
      <xdr:rowOff>171450</xdr:rowOff>
    </xdr:from>
    <xdr:to>
      <xdr:col>1</xdr:col>
      <xdr:colOff>0</xdr:colOff>
      <xdr:row>30</xdr:row>
      <xdr:rowOff>361950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219075" y="8020050"/>
          <a:ext cx="809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1571625</xdr:colOff>
      <xdr:row>17</xdr:row>
      <xdr:rowOff>171450</xdr:rowOff>
    </xdr:from>
    <xdr:to>
      <xdr:col>4</xdr:col>
      <xdr:colOff>0</xdr:colOff>
      <xdr:row>17</xdr:row>
      <xdr:rowOff>171450</xdr:rowOff>
    </xdr:to>
    <xdr:sp>
      <xdr:nvSpPr>
        <xdr:cNvPr id="8" name="Texto 3"/>
        <xdr:cNvSpPr txBox="1">
          <a:spLocks noChangeArrowheads="1"/>
        </xdr:cNvSpPr>
      </xdr:nvSpPr>
      <xdr:spPr>
        <a:xfrm>
          <a:off x="2600325" y="4991100"/>
          <a:ext cx="6086475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just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3-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Que el presupuesto municipal se debe distribuir de acuerdo a los criterios establecidos en la leyl 715 de 2001.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1019175</xdr:colOff>
      <xdr:row>6</xdr:row>
      <xdr:rowOff>76200</xdr:rowOff>
    </xdr:from>
    <xdr:to>
      <xdr:col>3</xdr:col>
      <xdr:colOff>1143000</xdr:colOff>
      <xdr:row>11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019175" y="1790700"/>
          <a:ext cx="7191375" cy="1381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Concejo Municipal de MEDINA CUNDINAMARCA en uso de las atribuciones constitucionales y legales conferidas por el articulo 313 numeral 5 de la Constitución Política por el articulo 92 numeral 5 del decreto 1333 de 1,986, y por la ley 136 de 1,994 y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CONSIDERANDO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1685925</xdr:colOff>
      <xdr:row>2</xdr:row>
      <xdr:rowOff>0</xdr:rowOff>
    </xdr:from>
    <xdr:to>
      <xdr:col>3</xdr:col>
      <xdr:colOff>895350</xdr:colOff>
      <xdr:row>5</xdr:row>
      <xdr:rowOff>219075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714625" y="409575"/>
          <a:ext cx="5248275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 MEDIO DEL CUAL SE  AJUSTA  EL ACUERDO No. 012 DE 2007 EN EL QUE SE EXPIDIO EL PRESUPUESTO GENERAL DE INGRESOS Y EGRESOS DEL MUNICIPIO DE MEDINA CUNDINAMARCA PARA LA VIGENCIA 2.008 Y SE ADICIONA LA ULTIMA DOCEAVA DE 2007.</a:t>
          </a:r>
        </a:p>
      </xdr:txBody>
    </xdr:sp>
    <xdr:clientData/>
  </xdr:twoCellAnchor>
  <xdr:twoCellAnchor>
    <xdr:from>
      <xdr:col>1</xdr:col>
      <xdr:colOff>762000</xdr:colOff>
      <xdr:row>29</xdr:row>
      <xdr:rowOff>0</xdr:rowOff>
    </xdr:from>
    <xdr:to>
      <xdr:col>3</xdr:col>
      <xdr:colOff>1209675</xdr:colOff>
      <xdr:row>29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1790700" y="7448550"/>
          <a:ext cx="6486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123825</xdr:rowOff>
    </xdr:from>
    <xdr:to>
      <xdr:col>1</xdr:col>
      <xdr:colOff>1352550</xdr:colOff>
      <xdr:row>7</xdr:row>
      <xdr:rowOff>0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1028700" y="123825"/>
          <a:ext cx="13525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 DE COLOMBIA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DE CUNDINAMARCA</a:t>
          </a: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MUNICIPIO DE MEDINA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ALCALDIA MUNICIPAL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VIGENCIA 2008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419100</xdr:colOff>
      <xdr:row>3</xdr:row>
      <xdr:rowOff>47625</xdr:rowOff>
    </xdr:from>
    <xdr:to>
      <xdr:col>1</xdr:col>
      <xdr:colOff>857250</xdr:colOff>
      <xdr:row>5</xdr:row>
      <xdr:rowOff>219075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657225"/>
          <a:ext cx="438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29</xdr:row>
      <xdr:rowOff>123825</xdr:rowOff>
    </xdr:from>
    <xdr:to>
      <xdr:col>1</xdr:col>
      <xdr:colOff>371475</xdr:colOff>
      <xdr:row>30</xdr:row>
      <xdr:rowOff>142875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57150" y="7572375"/>
          <a:ext cx="1343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30</xdr:row>
      <xdr:rowOff>171450</xdr:rowOff>
    </xdr:from>
    <xdr:to>
      <xdr:col>1</xdr:col>
      <xdr:colOff>0</xdr:colOff>
      <xdr:row>30</xdr:row>
      <xdr:rowOff>361950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219075" y="7810500"/>
          <a:ext cx="809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1571625</xdr:colOff>
      <xdr:row>17</xdr:row>
      <xdr:rowOff>171450</xdr:rowOff>
    </xdr:from>
    <xdr:to>
      <xdr:col>4</xdr:col>
      <xdr:colOff>1238250</xdr:colOff>
      <xdr:row>17</xdr:row>
      <xdr:rowOff>171450</xdr:rowOff>
    </xdr:to>
    <xdr:sp>
      <xdr:nvSpPr>
        <xdr:cNvPr id="8" name="Texto 3"/>
        <xdr:cNvSpPr txBox="1">
          <a:spLocks noChangeArrowheads="1"/>
        </xdr:cNvSpPr>
      </xdr:nvSpPr>
      <xdr:spPr>
        <a:xfrm>
          <a:off x="2600325" y="4924425"/>
          <a:ext cx="7324725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just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3-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Que el presupuesto municipal se debe distribuir de acuerdo a los criterios establecidos en la leyl 715 de 2001.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114</xdr:row>
      <xdr:rowOff>0</xdr:rowOff>
    </xdr:from>
    <xdr:to>
      <xdr:col>2</xdr:col>
      <xdr:colOff>1228725</xdr:colOff>
      <xdr:row>114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23183850"/>
          <a:ext cx="72485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prstDash val="sysDash"/>
          <a:headEnd type="none"/>
          <a:tailEnd type="none"/>
        </a:ln>
      </xdr:spPr>
      <xdr:txBody>
        <a:bodyPr vertOverflow="clip" wrap="square" lIns="36576" tIns="27432" rIns="36576" bIns="0"/>
        <a:p>
          <a:pPr algn="just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ARTICULO SEGUNDO: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Apruebese el presupuesto de gastos del Municipio de Medina Cundinamarca para la vigencia comprendida entre el primero (1o) de enero y el treinta y uno (31) de diciembre dos mil ocho (2.008), por la suma de: TRES MIL TRESCIENTOS NOVENTA Y CINCO  MILLONES  OCHOCIENTOS NOVENTA MIL SETECIENTOS NOVENTA Y DOS PESOS MCTE.  ($ 3.395.890.792.oo), Y  ADICIONA LA ULTIMA DOCEAVA DEL AÑO 2007 EN LA SUMA DE: DOSCIENTOS TREINTA Y OCHO MILLONES CIENTO NOVENTA Y TRES MIL QUINIENTOS CINCUENTA Y SIETE ($ 238.193.557), PARA UN TOTAL DE: TRES MIL SEISCIENTOS TREINTA Y CUATRO  MILLONES  OCHENTA Y CUATRO MIL TRESCIENTOS CUARENTA Y NUEVE PESOS MONEDA CORRIENTE ($ 3.634.084.349).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1143000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0"/>
          <a:ext cx="7181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Concejo Municipal de MEDINA CUNDINAMARCA en uso de las atribuciones constitucionales y legales conferidas por el articulo 313 numeral 5 de la Constitución Política por el articulo 92 numeral 5 del decreto 1333 de 1,986, y por la ley 136 de 1,994 y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CONSIDERANDO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1685925</xdr:colOff>
      <xdr:row>0</xdr:row>
      <xdr:rowOff>0</xdr:rowOff>
    </xdr:from>
    <xdr:to>
      <xdr:col>2</xdr:col>
      <xdr:colOff>895350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85925" y="0"/>
          <a:ext cx="5248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 MEDIO DEL CUAL SE AJUSTA EL ACUERDO No. 012 DE 2007 EN EL QUE SE EXPIDIO EL PRESUPUESTO GENERAL DE INGRESOS Y EGRESOS DEL MUNICIPIO DE MEDINA CUNDINAMARCA PARA LA VIGENCIA 2.008 Y SE ADICIONA LA ULTIMA DOCEAVA DE 2007.</a:t>
          </a:r>
        </a:p>
      </xdr:txBody>
    </xdr:sp>
    <xdr:clientData/>
  </xdr:twoCellAnchor>
  <xdr:twoCellAnchor>
    <xdr:from>
      <xdr:col>0</xdr:col>
      <xdr:colOff>762000</xdr:colOff>
      <xdr:row>0</xdr:row>
      <xdr:rowOff>0</xdr:rowOff>
    </xdr:from>
    <xdr:to>
      <xdr:col>2</xdr:col>
      <xdr:colOff>1209675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62000" y="0"/>
          <a:ext cx="6486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2</xdr:col>
      <xdr:colOff>1028700</xdr:colOff>
      <xdr:row>0</xdr:row>
      <xdr:rowOff>0</xdr:rowOff>
    </xdr:to>
    <xdr:sp>
      <xdr:nvSpPr>
        <xdr:cNvPr id="5" name="Texto 3"/>
        <xdr:cNvSpPr txBox="1">
          <a:spLocks noChangeArrowheads="1"/>
        </xdr:cNvSpPr>
      </xdr:nvSpPr>
      <xdr:spPr>
        <a:xfrm>
          <a:off x="19050" y="0"/>
          <a:ext cx="704850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just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2 -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Que el Consejo Nacional de Política Económica y Social, mediante la expedición del documento CONPES  108, fijo la ultima doceava del año 2007 y mediante  CONPES 110, 111 y 112, ajusto  el presupuesto para la vigencia 2008.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1104900</xdr:colOff>
      <xdr:row>0</xdr:row>
      <xdr:rowOff>0</xdr:rowOff>
    </xdr:to>
    <xdr:sp>
      <xdr:nvSpPr>
        <xdr:cNvPr id="6" name="Texto 3"/>
        <xdr:cNvSpPr txBox="1">
          <a:spLocks noChangeArrowheads="1"/>
        </xdr:cNvSpPr>
      </xdr:nvSpPr>
      <xdr:spPr>
        <a:xfrm>
          <a:off x="9525" y="0"/>
          <a:ext cx="7134225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just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4-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Que el presupuesto Municipal se debe distribuir de acuerdo y  mediante los criterios establecidos en la ley 715 de 2001.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1352550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0" y="0"/>
          <a:ext cx="1352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 DE COLOMBIA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DE CUNDINAMARCA</a:t>
          </a: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MUNICIPIO DE MEDINA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ALCALDIA MUNICIPAL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VIGENCIA 2008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438150</xdr:colOff>
      <xdr:row>0</xdr:row>
      <xdr:rowOff>0</xdr:rowOff>
    </xdr:from>
    <xdr:to>
      <xdr:col>0</xdr:col>
      <xdr:colOff>876300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1238250</xdr:colOff>
      <xdr:row>0</xdr:row>
      <xdr:rowOff>0</xdr:rowOff>
    </xdr:to>
    <xdr:sp>
      <xdr:nvSpPr>
        <xdr:cNvPr id="9" name="Texto 3"/>
        <xdr:cNvSpPr txBox="1">
          <a:spLocks noChangeArrowheads="1"/>
        </xdr:cNvSpPr>
      </xdr:nvSpPr>
      <xdr:spPr>
        <a:xfrm>
          <a:off x="0" y="0"/>
          <a:ext cx="727710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just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ARTICULO PRIMERO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Apruebese el presupuesto de ingresos del Municipio de MEDINA CUNDINAMARCA, para la vigencia fiscal comprendida, entre el primero (1o.) de enero y el treinta y uno (31) de diciembre de dos mil ocho (2,008) en la suma de: TRES MIL TRESCIENTOS NOVENTA Y CINCO  MILLONES  OCHOCIENTOS NOVENTA MIL SETECIENTOS NOVENTA Y DOS PESOS MCTE.  ($ 3.395.890.792.oo), Y  ADICIONA LA ULTIMA DOCEAVA DEL AÑO 2007 EN LA SUMA DE: DOSCIENTOS TREINTA Y OCHO MILLONES CIENTO NOVENTA Y TRES MIL QUINIENTOS CINCUENTA Y SIETE ($ 238.193.557), PARA UN TOTAL DE: TRES MIL SEISCIENTOS TREINTA Y CUATRO  MILLONES  OCHENTA Y CUATRO MIL TRESCIENTOS CUARENTA Y NUEVE PESOS MCTE ($ 3.634.084.349).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371475</xdr:colOff>
      <xdr:row>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0" y="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1571625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" name="Texto 3"/>
        <xdr:cNvSpPr txBox="1">
          <a:spLocks noChangeArrowheads="1"/>
        </xdr:cNvSpPr>
      </xdr:nvSpPr>
      <xdr:spPr>
        <a:xfrm>
          <a:off x="1571625" y="0"/>
          <a:ext cx="6086475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just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3-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Que el presupuesto municipal se debe distribuir de acuerdo a los criterios establecidos en la leyl 715 de 2001.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93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5.421875" style="338" customWidth="1"/>
    <col min="2" max="2" width="45.7109375" style="338" customWidth="1"/>
    <col min="3" max="3" width="44.8515625" style="338" customWidth="1"/>
    <col min="4" max="4" width="24.28125" style="503" customWidth="1"/>
    <col min="5" max="5" width="21.140625" style="338" customWidth="1"/>
    <col min="6" max="16384" width="11.421875" style="338" customWidth="1"/>
  </cols>
  <sheetData>
    <row r="1" spans="1:4" ht="14.25" customHeight="1">
      <c r="A1" s="336"/>
      <c r="B1" s="337"/>
      <c r="C1" s="337"/>
      <c r="D1" s="337"/>
    </row>
    <row r="2" spans="1:4" ht="18.75">
      <c r="A2" s="336"/>
      <c r="B2" s="339"/>
      <c r="C2" s="340" t="s">
        <v>481</v>
      </c>
      <c r="D2" s="341"/>
    </row>
    <row r="3" spans="1:4" ht="15.75" customHeight="1">
      <c r="A3" s="336"/>
      <c r="B3" s="336"/>
      <c r="C3" s="342"/>
      <c r="D3" s="341"/>
    </row>
    <row r="4" spans="1:4" ht="15.75" customHeight="1">
      <c r="A4" s="336"/>
      <c r="B4" s="336"/>
      <c r="C4" s="342"/>
      <c r="D4" s="341"/>
    </row>
    <row r="5" spans="1:4" ht="15.75" customHeight="1">
      <c r="A5" s="336"/>
      <c r="B5" s="336"/>
      <c r="C5" s="342"/>
      <c r="D5" s="341"/>
    </row>
    <row r="6" spans="1:4" ht="55.5" customHeight="1">
      <c r="A6" s="336"/>
      <c r="B6" s="336" t="s">
        <v>0</v>
      </c>
      <c r="C6" s="336"/>
      <c r="D6" s="341"/>
    </row>
    <row r="7" spans="1:4" ht="18" customHeight="1">
      <c r="A7" s="336"/>
      <c r="B7" s="343"/>
      <c r="C7" s="344"/>
      <c r="D7" s="345"/>
    </row>
    <row r="8" spans="1:4" ht="18.75">
      <c r="A8" s="336"/>
      <c r="B8" s="343"/>
      <c r="C8" s="344"/>
      <c r="D8" s="345"/>
    </row>
    <row r="9" spans="1:4" ht="18.75">
      <c r="A9" s="336"/>
      <c r="B9" s="343"/>
      <c r="C9" s="344"/>
      <c r="D9" s="345"/>
    </row>
    <row r="10" spans="1:4" ht="18.75">
      <c r="A10" s="336"/>
      <c r="B10" s="343"/>
      <c r="C10" s="344"/>
      <c r="D10" s="345"/>
    </row>
    <row r="11" spans="1:4" ht="22.5" customHeight="1">
      <c r="A11" s="336"/>
      <c r="B11" s="343"/>
      <c r="C11" s="344"/>
      <c r="D11" s="345"/>
    </row>
    <row r="12" spans="1:4" ht="21" customHeight="1">
      <c r="A12" s="336"/>
      <c r="B12" s="346"/>
      <c r="C12" s="347"/>
      <c r="D12" s="348" t="s">
        <v>1</v>
      </c>
    </row>
    <row r="13" spans="1:4" ht="30.75" customHeight="1">
      <c r="A13" s="349" t="s">
        <v>455</v>
      </c>
      <c r="B13" s="349"/>
      <c r="C13" s="349"/>
      <c r="D13" s="349"/>
    </row>
    <row r="14" spans="1:4" ht="21" customHeight="1">
      <c r="A14" s="336"/>
      <c r="B14" s="346"/>
      <c r="C14" s="347"/>
      <c r="D14" s="348"/>
    </row>
    <row r="15" spans="1:4" ht="42" customHeight="1">
      <c r="A15" s="350" t="s">
        <v>489</v>
      </c>
      <c r="B15" s="350"/>
      <c r="C15" s="350"/>
      <c r="D15" s="350"/>
    </row>
    <row r="16" spans="1:4" ht="15.75" customHeight="1">
      <c r="A16" s="336"/>
      <c r="B16" s="346"/>
      <c r="C16" s="347"/>
      <c r="D16" s="348"/>
    </row>
    <row r="17" spans="1:4" ht="16.5">
      <c r="A17" s="351" t="s">
        <v>490</v>
      </c>
      <c r="B17" s="351"/>
      <c r="C17" s="351"/>
      <c r="D17" s="351"/>
    </row>
    <row r="18" spans="1:4" ht="22.5" customHeight="1">
      <c r="A18" s="336"/>
      <c r="B18" s="346"/>
      <c r="C18" s="347"/>
      <c r="D18" s="348"/>
    </row>
    <row r="19" spans="1:4" ht="21" customHeight="1">
      <c r="A19" s="352" t="s">
        <v>491</v>
      </c>
      <c r="B19" s="352"/>
      <c r="C19" s="352"/>
      <c r="D19" s="352"/>
    </row>
    <row r="20" spans="1:4" ht="20.25" customHeight="1">
      <c r="A20" s="336"/>
      <c r="B20" s="353"/>
      <c r="C20" s="353"/>
      <c r="D20" s="354"/>
    </row>
    <row r="21" spans="1:4" ht="33.75" customHeight="1">
      <c r="A21" s="355" t="s">
        <v>2</v>
      </c>
      <c r="B21" s="355"/>
      <c r="C21" s="353"/>
      <c r="D21" s="354"/>
    </row>
    <row r="22" spans="1:4" ht="18">
      <c r="A22" s="356" t="s">
        <v>3</v>
      </c>
      <c r="B22" s="356"/>
      <c r="C22" s="356"/>
      <c r="D22" s="356"/>
    </row>
    <row r="23" spans="1:4" ht="18.75">
      <c r="A23" s="336"/>
      <c r="B23" s="353"/>
      <c r="C23" s="353"/>
      <c r="D23" s="354"/>
    </row>
    <row r="24" spans="1:4" ht="16.5">
      <c r="A24" s="357" t="s">
        <v>492</v>
      </c>
      <c r="B24" s="357"/>
      <c r="C24" s="357"/>
      <c r="D24" s="357"/>
    </row>
    <row r="25" spans="1:4" ht="16.5">
      <c r="A25" s="357"/>
      <c r="B25" s="357"/>
      <c r="C25" s="357"/>
      <c r="D25" s="357"/>
    </row>
    <row r="26" spans="1:4" ht="16.5">
      <c r="A26" s="357"/>
      <c r="B26" s="357"/>
      <c r="C26" s="357"/>
      <c r="D26" s="357"/>
    </row>
    <row r="27" spans="1:4" ht="16.5">
      <c r="A27" s="357"/>
      <c r="B27" s="357"/>
      <c r="C27" s="357"/>
      <c r="D27" s="357"/>
    </row>
    <row r="28" spans="1:4" ht="16.5">
      <c r="A28" s="357"/>
      <c r="B28" s="357"/>
      <c r="C28" s="357"/>
      <c r="D28" s="357"/>
    </row>
    <row r="29" spans="1:4" ht="6.75" customHeight="1">
      <c r="A29" s="357"/>
      <c r="B29" s="357"/>
      <c r="C29" s="357"/>
      <c r="D29" s="357"/>
    </row>
    <row r="30" spans="1:4" ht="15" customHeight="1">
      <c r="A30" s="357"/>
      <c r="B30" s="357"/>
      <c r="C30" s="357"/>
      <c r="D30" s="357"/>
    </row>
    <row r="31" spans="1:4" ht="29.25" customHeight="1">
      <c r="A31" s="357"/>
      <c r="B31" s="357"/>
      <c r="C31" s="357"/>
      <c r="D31" s="357"/>
    </row>
    <row r="32" spans="1:4" s="362" customFormat="1" ht="15.75">
      <c r="A32" s="358">
        <v>101</v>
      </c>
      <c r="B32" s="359" t="s">
        <v>4</v>
      </c>
      <c r="C32" s="360"/>
      <c r="D32" s="361"/>
    </row>
    <row r="33" spans="1:4" s="362" customFormat="1" ht="15.75">
      <c r="A33" s="358">
        <v>10101</v>
      </c>
      <c r="B33" s="359" t="s">
        <v>5</v>
      </c>
      <c r="C33" s="360"/>
      <c r="D33" s="361"/>
    </row>
    <row r="34" spans="1:4" s="362" customFormat="1" ht="15.75">
      <c r="A34" s="363">
        <v>1010101</v>
      </c>
      <c r="B34" s="359" t="s">
        <v>6</v>
      </c>
      <c r="C34" s="360"/>
      <c r="D34" s="361"/>
    </row>
    <row r="35" spans="1:4" s="362" customFormat="1" ht="15.75">
      <c r="A35" s="364">
        <v>101010101</v>
      </c>
      <c r="B35" s="365" t="s">
        <v>7</v>
      </c>
      <c r="C35" s="366"/>
      <c r="D35" s="367">
        <v>300417500</v>
      </c>
    </row>
    <row r="36" spans="1:4" s="362" customFormat="1" ht="15.75">
      <c r="A36" s="368">
        <v>101010103</v>
      </c>
      <c r="B36" s="365" t="s">
        <v>8</v>
      </c>
      <c r="C36" s="369"/>
      <c r="D36" s="367">
        <v>9495000</v>
      </c>
    </row>
    <row r="37" spans="1:4" s="362" customFormat="1" ht="15.75">
      <c r="A37" s="368">
        <v>101010104</v>
      </c>
      <c r="B37" s="365" t="s">
        <v>9</v>
      </c>
      <c r="C37" s="366"/>
      <c r="D37" s="367">
        <v>70178000</v>
      </c>
    </row>
    <row r="38" spans="2:4" s="362" customFormat="1" ht="15.75">
      <c r="B38" s="370"/>
      <c r="C38" s="360"/>
      <c r="D38" s="371">
        <f>SUM(D35:D37)</f>
        <v>380090500</v>
      </c>
    </row>
    <row r="39" spans="2:4" s="362" customFormat="1" ht="15.75">
      <c r="B39" s="370"/>
      <c r="C39" s="360"/>
      <c r="D39" s="361"/>
    </row>
    <row r="40" spans="1:4" s="362" customFormat="1" ht="23.25" customHeight="1">
      <c r="A40" s="363">
        <v>1010102</v>
      </c>
      <c r="B40" s="359" t="s">
        <v>10</v>
      </c>
      <c r="C40" s="360"/>
      <c r="D40" s="361"/>
    </row>
    <row r="41" spans="1:4" s="362" customFormat="1" ht="15.75" customHeight="1">
      <c r="A41" s="364">
        <v>101010201</v>
      </c>
      <c r="B41" s="365" t="s">
        <v>11</v>
      </c>
      <c r="C41" s="366"/>
      <c r="D41" s="367">
        <v>42041050</v>
      </c>
    </row>
    <row r="42" spans="1:4" s="362" customFormat="1" ht="15.75" customHeight="1">
      <c r="A42" s="364">
        <v>101010202</v>
      </c>
      <c r="B42" s="372" t="s">
        <v>12</v>
      </c>
      <c r="C42" s="373"/>
      <c r="D42" s="367">
        <v>6306157</v>
      </c>
    </row>
    <row r="43" spans="1:4" s="362" customFormat="1" ht="15.75" customHeight="1">
      <c r="A43" s="364">
        <v>101010203</v>
      </c>
      <c r="B43" s="372" t="s">
        <v>13</v>
      </c>
      <c r="C43" s="373"/>
      <c r="D43" s="367">
        <v>60000</v>
      </c>
    </row>
    <row r="44" spans="1:4" s="362" customFormat="1" ht="15.75" customHeight="1">
      <c r="A44" s="364">
        <v>101010204</v>
      </c>
      <c r="B44" s="365" t="s">
        <v>14</v>
      </c>
      <c r="C44" s="366"/>
      <c r="D44" s="367">
        <v>21100</v>
      </c>
    </row>
    <row r="45" spans="1:4" s="362" customFormat="1" ht="15.75" customHeight="1">
      <c r="A45" s="364">
        <v>101010205</v>
      </c>
      <c r="B45" s="372" t="s">
        <v>15</v>
      </c>
      <c r="C45" s="373"/>
      <c r="D45" s="367">
        <v>184625</v>
      </c>
    </row>
    <row r="46" spans="1:4" s="362" customFormat="1" ht="15.75">
      <c r="A46" s="364">
        <v>101010206</v>
      </c>
      <c r="B46" s="365" t="s">
        <v>16</v>
      </c>
      <c r="C46" s="366"/>
      <c r="D46" s="367">
        <v>995000</v>
      </c>
    </row>
    <row r="47" spans="1:4" s="362" customFormat="1" ht="15.75" customHeight="1">
      <c r="A47" s="364">
        <v>101010207</v>
      </c>
      <c r="B47" s="372" t="s">
        <v>17</v>
      </c>
      <c r="C47" s="373"/>
      <c r="D47" s="367">
        <v>116050</v>
      </c>
    </row>
    <row r="48" spans="1:4" s="362" customFormat="1" ht="15.75" customHeight="1">
      <c r="A48" s="364">
        <v>101010208</v>
      </c>
      <c r="B48" s="374" t="s">
        <v>18</v>
      </c>
      <c r="C48" s="375"/>
      <c r="D48" s="367">
        <v>1477000</v>
      </c>
    </row>
    <row r="49" spans="1:4" s="362" customFormat="1" ht="15.75" customHeight="1">
      <c r="A49" s="364">
        <v>101010209</v>
      </c>
      <c r="B49" s="374" t="s">
        <v>19</v>
      </c>
      <c r="C49" s="375"/>
      <c r="D49" s="367">
        <v>80182110</v>
      </c>
    </row>
    <row r="50" spans="1:4" s="362" customFormat="1" ht="15.75" customHeight="1">
      <c r="A50" s="364">
        <v>101010210</v>
      </c>
      <c r="B50" s="374" t="s">
        <v>268</v>
      </c>
      <c r="C50" s="375"/>
      <c r="D50" s="367">
        <v>11255844</v>
      </c>
    </row>
    <row r="51" spans="1:4" s="362" customFormat="1" ht="15.75" customHeight="1">
      <c r="A51" s="364">
        <v>101010211</v>
      </c>
      <c r="B51" s="374" t="s">
        <v>20</v>
      </c>
      <c r="C51" s="375"/>
      <c r="D51" s="367">
        <v>12187500</v>
      </c>
    </row>
    <row r="52" spans="1:4" s="362" customFormat="1" ht="15.75" customHeight="1">
      <c r="A52" s="364">
        <v>101010212</v>
      </c>
      <c r="B52" s="374" t="s">
        <v>21</v>
      </c>
      <c r="C52" s="375"/>
      <c r="D52" s="367">
        <v>17334565</v>
      </c>
    </row>
    <row r="53" spans="1:4" s="362" customFormat="1" ht="15.75" customHeight="1">
      <c r="A53" s="364">
        <v>101010213</v>
      </c>
      <c r="B53" s="372" t="s">
        <v>22</v>
      </c>
      <c r="C53" s="373"/>
      <c r="D53" s="367">
        <v>12321000</v>
      </c>
    </row>
    <row r="54" spans="2:4" s="362" customFormat="1" ht="21" customHeight="1">
      <c r="B54" s="370"/>
      <c r="C54" s="360"/>
      <c r="D54" s="371">
        <f>SUM(D41:D53)</f>
        <v>184482001</v>
      </c>
    </row>
    <row r="55" spans="2:4" s="362" customFormat="1" ht="4.5" customHeight="1">
      <c r="B55" s="370"/>
      <c r="C55" s="360"/>
      <c r="D55" s="361"/>
    </row>
    <row r="56" spans="1:4" s="362" customFormat="1" ht="21" customHeight="1">
      <c r="A56" s="358">
        <v>10102</v>
      </c>
      <c r="B56" s="376" t="s">
        <v>23</v>
      </c>
      <c r="C56" s="377"/>
      <c r="D56" s="361"/>
    </row>
    <row r="57" spans="1:4" s="362" customFormat="1" ht="17.25" customHeight="1">
      <c r="A57" s="363">
        <v>1010201</v>
      </c>
      <c r="B57" s="359" t="s">
        <v>24</v>
      </c>
      <c r="C57" s="360"/>
      <c r="D57" s="361"/>
    </row>
    <row r="58" spans="1:4" s="362" customFormat="1" ht="17.25" customHeight="1">
      <c r="A58" s="364">
        <v>101020101</v>
      </c>
      <c r="B58" s="378" t="s">
        <v>25</v>
      </c>
      <c r="C58" s="379"/>
      <c r="D58" s="367">
        <v>20341455</v>
      </c>
    </row>
    <row r="59" spans="1:4" s="362" customFormat="1" ht="17.25" customHeight="1">
      <c r="A59" s="368">
        <v>101020102</v>
      </c>
      <c r="B59" s="372" t="s">
        <v>26</v>
      </c>
      <c r="C59" s="373"/>
      <c r="D59" s="367">
        <v>575000</v>
      </c>
    </row>
    <row r="60" spans="1:4" s="362" customFormat="1" ht="17.25" customHeight="1">
      <c r="A60" s="368">
        <v>101020103</v>
      </c>
      <c r="B60" s="374" t="s">
        <v>27</v>
      </c>
      <c r="C60" s="375"/>
      <c r="D60" s="367">
        <v>5510900</v>
      </c>
    </row>
    <row r="61" spans="1:4" s="362" customFormat="1" ht="17.25" customHeight="1">
      <c r="A61" s="368">
        <v>101020104</v>
      </c>
      <c r="B61" s="374" t="s">
        <v>28</v>
      </c>
      <c r="C61" s="375"/>
      <c r="D61" s="367">
        <v>3350000</v>
      </c>
    </row>
    <row r="62" spans="1:4" s="362" customFormat="1" ht="17.25" customHeight="1">
      <c r="A62" s="368">
        <v>101020105</v>
      </c>
      <c r="B62" s="372" t="s">
        <v>29</v>
      </c>
      <c r="C62" s="373"/>
      <c r="D62" s="367">
        <v>13904900</v>
      </c>
    </row>
    <row r="63" spans="1:4" s="362" customFormat="1" ht="17.25" customHeight="1">
      <c r="A63" s="368">
        <v>101020106</v>
      </c>
      <c r="B63" s="372" t="s">
        <v>30</v>
      </c>
      <c r="C63" s="373"/>
      <c r="D63" s="367">
        <v>2106300</v>
      </c>
    </row>
    <row r="64" spans="1:4" s="362" customFormat="1" ht="17.25" customHeight="1">
      <c r="A64" s="368">
        <v>101020107</v>
      </c>
      <c r="B64" s="365" t="s">
        <v>31</v>
      </c>
      <c r="C64" s="366"/>
      <c r="D64" s="367">
        <v>12950000</v>
      </c>
    </row>
    <row r="65" spans="1:4" s="362" customFormat="1" ht="17.25" customHeight="1">
      <c r="A65" s="368">
        <v>101020108</v>
      </c>
      <c r="B65" s="378" t="s">
        <v>32</v>
      </c>
      <c r="C65" s="379"/>
      <c r="D65" s="367">
        <v>1000</v>
      </c>
    </row>
    <row r="66" spans="1:4" s="362" customFormat="1" ht="17.25" customHeight="1">
      <c r="A66" s="368">
        <v>101020109</v>
      </c>
      <c r="B66" s="372" t="s">
        <v>33</v>
      </c>
      <c r="C66" s="373"/>
      <c r="D66" s="367">
        <v>160387</v>
      </c>
    </row>
    <row r="67" spans="1:4" s="362" customFormat="1" ht="17.25" customHeight="1">
      <c r="A67" s="368">
        <v>101020110</v>
      </c>
      <c r="B67" s="374" t="s">
        <v>34</v>
      </c>
      <c r="C67" s="375"/>
      <c r="D67" s="367">
        <v>35966005</v>
      </c>
    </row>
    <row r="68" spans="1:4" s="362" customFormat="1" ht="17.25" customHeight="1">
      <c r="A68" s="368">
        <v>101020111</v>
      </c>
      <c r="B68" s="372" t="s">
        <v>35</v>
      </c>
      <c r="C68" s="373"/>
      <c r="D68" s="367">
        <v>10012210</v>
      </c>
    </row>
    <row r="69" spans="1:4" s="362" customFormat="1" ht="21" customHeight="1">
      <c r="A69" s="368">
        <v>101020112</v>
      </c>
      <c r="B69" s="372" t="s">
        <v>36</v>
      </c>
      <c r="C69" s="373"/>
      <c r="D69" s="367">
        <v>3112250</v>
      </c>
    </row>
    <row r="70" spans="2:4" s="362" customFormat="1" ht="18" customHeight="1">
      <c r="B70" s="370"/>
      <c r="C70" s="360"/>
      <c r="D70" s="371">
        <f>SUM(D58:D69)</f>
        <v>107990407</v>
      </c>
    </row>
    <row r="71" spans="2:4" s="362" customFormat="1" ht="3" customHeight="1">
      <c r="B71" s="370"/>
      <c r="C71" s="360"/>
      <c r="D71" s="361"/>
    </row>
    <row r="72" spans="1:4" s="362" customFormat="1" ht="15.75">
      <c r="A72" s="363">
        <v>1010202</v>
      </c>
      <c r="B72" s="359" t="s">
        <v>37</v>
      </c>
      <c r="C72" s="360"/>
      <c r="D72" s="361"/>
    </row>
    <row r="73" spans="1:4" s="362" customFormat="1" ht="17.25" customHeight="1">
      <c r="A73" s="364">
        <v>101020201</v>
      </c>
      <c r="B73" s="372" t="s">
        <v>38</v>
      </c>
      <c r="C73" s="373"/>
      <c r="D73" s="367">
        <v>255000</v>
      </c>
    </row>
    <row r="74" spans="1:4" s="362" customFormat="1" ht="17.25" customHeight="1">
      <c r="A74" s="368">
        <v>101020202</v>
      </c>
      <c r="B74" s="372" t="s">
        <v>39</v>
      </c>
      <c r="C74" s="373"/>
      <c r="D74" s="367">
        <v>2000000</v>
      </c>
    </row>
    <row r="75" spans="1:4" s="362" customFormat="1" ht="17.25" customHeight="1">
      <c r="A75" s="368">
        <v>101020203</v>
      </c>
      <c r="B75" s="372" t="s">
        <v>40</v>
      </c>
      <c r="C75" s="373"/>
      <c r="D75" s="367">
        <v>15590325</v>
      </c>
    </row>
    <row r="76" spans="2:4" s="362" customFormat="1" ht="15.75">
      <c r="B76" s="370"/>
      <c r="C76" s="360"/>
      <c r="D76" s="371">
        <f>SUM(D73:D75)</f>
        <v>17845325</v>
      </c>
    </row>
    <row r="77" spans="2:4" s="362" customFormat="1" ht="7.5" customHeight="1">
      <c r="B77" s="370"/>
      <c r="C77" s="360"/>
      <c r="D77" s="361"/>
    </row>
    <row r="78" spans="1:4" s="362" customFormat="1" ht="24" customHeight="1">
      <c r="A78" s="363">
        <v>1010203</v>
      </c>
      <c r="B78" s="380" t="s">
        <v>41</v>
      </c>
      <c r="C78" s="380"/>
      <c r="D78" s="361"/>
    </row>
    <row r="79" spans="1:4" s="362" customFormat="1" ht="18.75" customHeight="1">
      <c r="A79" s="364">
        <v>101020301</v>
      </c>
      <c r="B79" s="372" t="s">
        <v>42</v>
      </c>
      <c r="C79" s="373"/>
      <c r="D79" s="367">
        <v>5500000</v>
      </c>
    </row>
    <row r="80" spans="1:4" s="362" customFormat="1" ht="18.75" customHeight="1">
      <c r="A80" s="368">
        <v>101020302</v>
      </c>
      <c r="B80" s="372" t="s">
        <v>43</v>
      </c>
      <c r="C80" s="373"/>
      <c r="D80" s="367">
        <v>19277345</v>
      </c>
    </row>
    <row r="81" spans="1:4" s="362" customFormat="1" ht="18.75" customHeight="1">
      <c r="A81" s="368">
        <v>101020303</v>
      </c>
      <c r="B81" s="378" t="s">
        <v>44</v>
      </c>
      <c r="C81" s="379"/>
      <c r="D81" s="367">
        <v>250000</v>
      </c>
    </row>
    <row r="82" spans="2:4" s="362" customFormat="1" ht="18.75" customHeight="1">
      <c r="B82" s="370"/>
      <c r="C82" s="360"/>
      <c r="D82" s="371">
        <f>SUM(D79:D81)</f>
        <v>25027345</v>
      </c>
    </row>
    <row r="83" spans="2:4" s="362" customFormat="1" ht="20.25" customHeight="1">
      <c r="B83" s="370"/>
      <c r="C83" s="360"/>
      <c r="D83" s="361"/>
    </row>
    <row r="84" spans="1:4" s="362" customFormat="1" ht="20.25" customHeight="1">
      <c r="A84" s="363">
        <v>1010204</v>
      </c>
      <c r="B84" s="359" t="s">
        <v>453</v>
      </c>
      <c r="C84" s="360"/>
      <c r="D84" s="361"/>
    </row>
    <row r="85" spans="1:4" s="362" customFormat="1" ht="18" customHeight="1">
      <c r="A85" s="364">
        <v>101020401</v>
      </c>
      <c r="B85" s="372" t="s">
        <v>334</v>
      </c>
      <c r="C85" s="381" t="s">
        <v>1</v>
      </c>
      <c r="D85" s="367">
        <f>+'Anexo No.1'!C80</f>
        <v>611682612</v>
      </c>
    </row>
    <row r="86" spans="1:4" s="362" customFormat="1" ht="15.75" customHeight="1">
      <c r="A86" s="368">
        <v>101020402</v>
      </c>
      <c r="B86" s="372" t="s">
        <v>335</v>
      </c>
      <c r="C86" s="381" t="s">
        <v>1</v>
      </c>
      <c r="D86" s="367">
        <f>+'Anexo No.1'!C44</f>
        <v>492394240</v>
      </c>
    </row>
    <row r="87" spans="1:4" s="362" customFormat="1" ht="15.75" customHeight="1">
      <c r="A87" s="364">
        <v>101020403</v>
      </c>
      <c r="B87" s="372" t="s">
        <v>45</v>
      </c>
      <c r="C87" s="381" t="s">
        <v>1</v>
      </c>
      <c r="D87" s="367">
        <f>+'Anexo No.1'!C6</f>
        <v>174263828</v>
      </c>
    </row>
    <row r="88" spans="1:4" s="362" customFormat="1" ht="15.75" customHeight="1">
      <c r="A88" s="368">
        <v>101020404</v>
      </c>
      <c r="B88" s="374" t="s">
        <v>46</v>
      </c>
      <c r="C88" s="382"/>
      <c r="D88" s="367">
        <f>+'Anexo No.1'!C15</f>
        <v>101583629</v>
      </c>
    </row>
    <row r="89" spans="1:4" s="362" customFormat="1" ht="15.75" customHeight="1">
      <c r="A89" s="364">
        <v>101020405</v>
      </c>
      <c r="B89" s="374" t="s">
        <v>47</v>
      </c>
      <c r="C89" s="382"/>
      <c r="D89" s="383">
        <f>+'Anexo No.1'!C20</f>
        <v>1007171579</v>
      </c>
    </row>
    <row r="90" spans="1:4" s="362" customFormat="1" ht="15.75" customHeight="1">
      <c r="A90" s="368">
        <v>101020406</v>
      </c>
      <c r="B90" s="374" t="s">
        <v>48</v>
      </c>
      <c r="C90" s="382"/>
      <c r="D90" s="383">
        <f>+'Anexo No.1'!C25</f>
        <v>19833772</v>
      </c>
    </row>
    <row r="91" spans="1:4" s="362" customFormat="1" ht="15.75" customHeight="1">
      <c r="A91" s="364">
        <v>101020407</v>
      </c>
      <c r="B91" s="374" t="s">
        <v>49</v>
      </c>
      <c r="C91" s="382" t="s">
        <v>1</v>
      </c>
      <c r="D91" s="383">
        <f>+'Anexo No.1'!C35</f>
        <v>32430382</v>
      </c>
    </row>
    <row r="92" spans="1:4" s="362" customFormat="1" ht="15.75" customHeight="1">
      <c r="A92" s="368">
        <v>101020408</v>
      </c>
      <c r="B92" s="384" t="s">
        <v>336</v>
      </c>
      <c r="C92" s="385"/>
      <c r="D92" s="383">
        <v>365099341</v>
      </c>
    </row>
    <row r="93" spans="1:4" s="362" customFormat="1" ht="15.75" customHeight="1">
      <c r="A93" s="364">
        <v>101020409</v>
      </c>
      <c r="B93" s="384" t="s">
        <v>337</v>
      </c>
      <c r="C93" s="385"/>
      <c r="D93" s="383">
        <v>17428888</v>
      </c>
    </row>
    <row r="94" spans="1:4" s="362" customFormat="1" ht="15.75" customHeight="1">
      <c r="A94" s="368">
        <v>101020410</v>
      </c>
      <c r="B94" s="384" t="s">
        <v>338</v>
      </c>
      <c r="C94" s="385"/>
      <c r="D94" s="383">
        <f>+'Anexo No.1'!C71</f>
        <v>13071666</v>
      </c>
    </row>
    <row r="95" spans="1:4" s="362" customFormat="1" ht="15.75" customHeight="1">
      <c r="A95" s="364">
        <v>101020411</v>
      </c>
      <c r="B95" s="384" t="s">
        <v>50</v>
      </c>
      <c r="C95" s="386"/>
      <c r="D95" s="383">
        <v>1</v>
      </c>
    </row>
    <row r="96" spans="1:4" s="362" customFormat="1" ht="15.75" customHeight="1">
      <c r="A96" s="368">
        <v>101020412</v>
      </c>
      <c r="B96" s="387" t="s">
        <v>51</v>
      </c>
      <c r="C96" s="387"/>
      <c r="D96" s="367">
        <v>1</v>
      </c>
    </row>
    <row r="97" spans="1:4" s="362" customFormat="1" ht="15.75" customHeight="1">
      <c r="A97" s="364">
        <v>101020413</v>
      </c>
      <c r="B97" s="388" t="s">
        <v>52</v>
      </c>
      <c r="C97" s="388"/>
      <c r="D97" s="367">
        <v>4000000</v>
      </c>
    </row>
    <row r="98" spans="1:4" s="362" customFormat="1" ht="15.75" customHeight="1">
      <c r="A98" s="368">
        <v>101020414</v>
      </c>
      <c r="B98" s="388" t="s">
        <v>53</v>
      </c>
      <c r="C98" s="388"/>
      <c r="D98" s="367">
        <v>1</v>
      </c>
    </row>
    <row r="99" spans="2:4" s="362" customFormat="1" ht="15.75" customHeight="1">
      <c r="B99" s="370"/>
      <c r="C99" s="360"/>
      <c r="D99" s="371">
        <f>SUM(D85:D98)</f>
        <v>2838959940</v>
      </c>
    </row>
    <row r="100" spans="2:4" s="362" customFormat="1" ht="15.75" customHeight="1">
      <c r="B100" s="370"/>
      <c r="C100" s="360"/>
      <c r="D100" s="361"/>
    </row>
    <row r="101" spans="1:4" s="362" customFormat="1" ht="15.75" customHeight="1">
      <c r="A101" s="363">
        <v>1010205</v>
      </c>
      <c r="B101" s="380" t="s">
        <v>54</v>
      </c>
      <c r="C101" s="380"/>
      <c r="D101" s="361"/>
    </row>
    <row r="102" spans="1:4" s="362" customFormat="1" ht="15.75" customHeight="1">
      <c r="A102" s="364">
        <v>101020501</v>
      </c>
      <c r="B102" s="372" t="s">
        <v>55</v>
      </c>
      <c r="C102" s="373"/>
      <c r="D102" s="367">
        <v>15910000</v>
      </c>
    </row>
    <row r="103" spans="1:4" s="362" customFormat="1" ht="15.75" customHeight="1">
      <c r="A103" s="368">
        <v>101020502</v>
      </c>
      <c r="B103" s="389" t="s">
        <v>56</v>
      </c>
      <c r="C103" s="390"/>
      <c r="D103" s="367">
        <v>1</v>
      </c>
    </row>
    <row r="104" spans="1:4" s="362" customFormat="1" ht="15.75" customHeight="1">
      <c r="A104" s="368">
        <v>101020503</v>
      </c>
      <c r="B104" s="378" t="s">
        <v>57</v>
      </c>
      <c r="C104" s="379"/>
      <c r="D104" s="367">
        <v>1</v>
      </c>
    </row>
    <row r="105" spans="2:4" s="362" customFormat="1" ht="14.25" customHeight="1">
      <c r="B105" s="370"/>
      <c r="C105" s="360"/>
      <c r="D105" s="371">
        <f>SUM(D102:D104)</f>
        <v>15910002</v>
      </c>
    </row>
    <row r="106" spans="1:4" s="362" customFormat="1" ht="23.25" customHeight="1">
      <c r="A106" s="363">
        <v>1010206</v>
      </c>
      <c r="B106" s="359" t="s">
        <v>58</v>
      </c>
      <c r="C106" s="360"/>
      <c r="D106" s="361"/>
    </row>
    <row r="107" spans="1:4" s="362" customFormat="1" ht="14.25" customHeight="1">
      <c r="A107" s="364">
        <v>101020601</v>
      </c>
      <c r="B107" s="372" t="s">
        <v>59</v>
      </c>
      <c r="C107" s="373"/>
      <c r="D107" s="367">
        <v>345000</v>
      </c>
    </row>
    <row r="108" spans="1:4" s="362" customFormat="1" ht="14.25" customHeight="1">
      <c r="A108" s="368">
        <v>101020602</v>
      </c>
      <c r="B108" s="372" t="s">
        <v>60</v>
      </c>
      <c r="C108" s="373"/>
      <c r="D108" s="367">
        <v>1</v>
      </c>
    </row>
    <row r="109" spans="1:4" s="362" customFormat="1" ht="14.25" customHeight="1">
      <c r="A109" s="368">
        <v>101020603</v>
      </c>
      <c r="B109" s="372" t="s">
        <v>61</v>
      </c>
      <c r="C109" s="373"/>
      <c r="D109" s="367">
        <v>3000000</v>
      </c>
    </row>
    <row r="110" spans="1:4" s="362" customFormat="1" ht="14.25" customHeight="1">
      <c r="A110" s="368">
        <v>101020604</v>
      </c>
      <c r="B110" s="372" t="s">
        <v>62</v>
      </c>
      <c r="C110" s="373"/>
      <c r="D110" s="367">
        <v>4000000</v>
      </c>
    </row>
    <row r="111" spans="2:4" s="362" customFormat="1" ht="15.75">
      <c r="B111" s="370"/>
      <c r="C111" s="360"/>
      <c r="D111" s="371">
        <f>SUM(D107:D110)</f>
        <v>7345001</v>
      </c>
    </row>
    <row r="112" spans="1:4" s="362" customFormat="1" ht="15.75">
      <c r="A112" s="358">
        <v>102</v>
      </c>
      <c r="B112" s="359" t="s">
        <v>63</v>
      </c>
      <c r="C112" s="360"/>
      <c r="D112" s="361"/>
    </row>
    <row r="113" spans="1:4" s="362" customFormat="1" ht="15.75">
      <c r="A113" s="363">
        <v>10201</v>
      </c>
      <c r="B113" s="359" t="s">
        <v>64</v>
      </c>
      <c r="C113" s="360"/>
      <c r="D113" s="361"/>
    </row>
    <row r="114" spans="1:4" s="362" customFormat="1" ht="15.75">
      <c r="A114" s="364">
        <v>1020101</v>
      </c>
      <c r="B114" s="372" t="s">
        <v>65</v>
      </c>
      <c r="C114" s="373"/>
      <c r="D114" s="367">
        <v>7800000</v>
      </c>
    </row>
    <row r="115" spans="2:4" s="362" customFormat="1" ht="15.75">
      <c r="B115" s="370"/>
      <c r="C115" s="391"/>
      <c r="D115" s="371">
        <f>SUM(D114)</f>
        <v>7800000</v>
      </c>
    </row>
    <row r="116" spans="2:4" s="362" customFormat="1" ht="15.75">
      <c r="B116" s="370"/>
      <c r="C116" s="391"/>
      <c r="D116" s="361"/>
    </row>
    <row r="117" spans="1:4" s="362" customFormat="1" ht="15.75">
      <c r="A117" s="363">
        <v>10202</v>
      </c>
      <c r="B117" s="359" t="s">
        <v>66</v>
      </c>
      <c r="C117" s="360"/>
      <c r="D117" s="361"/>
    </row>
    <row r="118" spans="1:4" s="362" customFormat="1" ht="15.75">
      <c r="A118" s="364">
        <v>1020201</v>
      </c>
      <c r="B118" s="372" t="s">
        <v>67</v>
      </c>
      <c r="C118" s="373"/>
      <c r="D118" s="367">
        <v>1</v>
      </c>
    </row>
    <row r="119" spans="1:4" s="362" customFormat="1" ht="15.75">
      <c r="A119" s="368">
        <v>1020202</v>
      </c>
      <c r="B119" s="372" t="s">
        <v>68</v>
      </c>
      <c r="C119" s="373"/>
      <c r="D119" s="367">
        <f>1+0</f>
        <v>1</v>
      </c>
    </row>
    <row r="120" spans="2:4" s="362" customFormat="1" ht="15.75">
      <c r="B120" s="370"/>
      <c r="C120" s="391"/>
      <c r="D120" s="371">
        <f>SUM(D118:D119)</f>
        <v>2</v>
      </c>
    </row>
    <row r="121" spans="1:4" s="362" customFormat="1" ht="15.75">
      <c r="A121" s="358">
        <v>103</v>
      </c>
      <c r="B121" s="392" t="s">
        <v>69</v>
      </c>
      <c r="C121" s="391"/>
      <c r="D121" s="361"/>
    </row>
    <row r="122" spans="1:4" s="362" customFormat="1" ht="15.75">
      <c r="A122" s="358">
        <v>10301</v>
      </c>
      <c r="B122" s="359" t="s">
        <v>70</v>
      </c>
      <c r="C122" s="391"/>
      <c r="D122" s="361"/>
    </row>
    <row r="123" spans="1:4" s="362" customFormat="1" ht="15.75">
      <c r="A123" s="363">
        <v>1030101</v>
      </c>
      <c r="B123" s="380" t="s">
        <v>71</v>
      </c>
      <c r="C123" s="380"/>
      <c r="D123" s="361"/>
    </row>
    <row r="124" spans="1:4" s="362" customFormat="1" ht="15.75">
      <c r="A124" s="364">
        <v>103010101</v>
      </c>
      <c r="B124" s="372" t="s">
        <v>72</v>
      </c>
      <c r="C124" s="373"/>
      <c r="D124" s="367">
        <v>23565000</v>
      </c>
    </row>
    <row r="125" spans="2:4" s="362" customFormat="1" ht="15.75">
      <c r="B125" s="370"/>
      <c r="C125" s="391"/>
      <c r="D125" s="371">
        <f>SUM(D124)</f>
        <v>23565000</v>
      </c>
    </row>
    <row r="126" spans="1:4" s="362" customFormat="1" ht="15.75">
      <c r="A126" s="362">
        <v>10302</v>
      </c>
      <c r="B126" s="392" t="s">
        <v>73</v>
      </c>
      <c r="C126" s="391"/>
      <c r="D126" s="393"/>
    </row>
    <row r="127" spans="1:4" s="362" customFormat="1" ht="15.75">
      <c r="A127" s="368">
        <v>1030201</v>
      </c>
      <c r="B127" s="374" t="s">
        <v>74</v>
      </c>
      <c r="C127" s="375"/>
      <c r="D127" s="394">
        <v>1</v>
      </c>
    </row>
    <row r="128" spans="1:4" s="362" customFormat="1" ht="15.75">
      <c r="A128" s="368">
        <v>1030202</v>
      </c>
      <c r="B128" s="374" t="s">
        <v>75</v>
      </c>
      <c r="C128" s="375"/>
      <c r="D128" s="394">
        <v>12110000</v>
      </c>
    </row>
    <row r="129" spans="2:4" s="362" customFormat="1" ht="15.75">
      <c r="B129" s="370"/>
      <c r="C129" s="391"/>
      <c r="D129" s="395">
        <f>SUM(D127:D128)</f>
        <v>12110001</v>
      </c>
    </row>
    <row r="130" spans="2:4" s="362" customFormat="1" ht="15.75">
      <c r="B130" s="370"/>
      <c r="C130" s="391"/>
      <c r="D130" s="371"/>
    </row>
    <row r="131" spans="1:4" s="362" customFormat="1" ht="15.75">
      <c r="A131" s="362">
        <v>10303</v>
      </c>
      <c r="B131" s="392" t="s">
        <v>76</v>
      </c>
      <c r="C131" s="391"/>
      <c r="D131" s="393"/>
    </row>
    <row r="132" spans="1:4" s="362" customFormat="1" ht="15.75">
      <c r="A132" s="368">
        <v>1030301</v>
      </c>
      <c r="B132" s="374" t="s">
        <v>77</v>
      </c>
      <c r="C132" s="375"/>
      <c r="D132" s="394">
        <v>22000000</v>
      </c>
    </row>
    <row r="133" spans="2:4" s="362" customFormat="1" ht="15.75">
      <c r="B133" s="370"/>
      <c r="C133" s="391"/>
      <c r="D133" s="395">
        <f>SUM(D132)</f>
        <v>22000000</v>
      </c>
    </row>
    <row r="134" spans="2:4" s="362" customFormat="1" ht="15.75">
      <c r="B134" s="396"/>
      <c r="C134" s="396"/>
      <c r="D134" s="361"/>
    </row>
    <row r="135" spans="1:4" s="362" customFormat="1" ht="31.5">
      <c r="A135" s="358">
        <v>10304</v>
      </c>
      <c r="B135" s="359" t="s">
        <v>78</v>
      </c>
      <c r="C135" s="391"/>
      <c r="D135" s="361"/>
    </row>
    <row r="136" spans="1:4" s="362" customFormat="1" ht="15.75">
      <c r="A136" s="363">
        <v>1030401</v>
      </c>
      <c r="B136" s="380" t="s">
        <v>79</v>
      </c>
      <c r="C136" s="380"/>
      <c r="D136" s="361"/>
    </row>
    <row r="137" spans="1:4" s="362" customFormat="1" ht="15.75">
      <c r="A137" s="364">
        <v>103040101</v>
      </c>
      <c r="B137" s="372" t="s">
        <v>80</v>
      </c>
      <c r="C137" s="373"/>
      <c r="D137" s="367">
        <v>27373244</v>
      </c>
    </row>
    <row r="138" spans="1:4" s="362" customFormat="1" ht="15.75">
      <c r="A138" s="364">
        <v>103040102</v>
      </c>
      <c r="B138" s="372" t="s">
        <v>81</v>
      </c>
      <c r="C138" s="373"/>
      <c r="D138" s="367">
        <v>5000000</v>
      </c>
    </row>
    <row r="139" spans="1:4" s="362" customFormat="1" ht="15.75">
      <c r="A139" s="364">
        <v>103040103</v>
      </c>
      <c r="B139" s="372" t="s">
        <v>82</v>
      </c>
      <c r="C139" s="373"/>
      <c r="D139" s="367">
        <v>19542580</v>
      </c>
    </row>
    <row r="140" spans="1:4" s="362" customFormat="1" ht="15.75">
      <c r="A140" s="364">
        <v>103040104</v>
      </c>
      <c r="B140" s="372" t="s">
        <v>83</v>
      </c>
      <c r="C140" s="373"/>
      <c r="D140" s="367">
        <v>500000</v>
      </c>
    </row>
    <row r="141" spans="1:4" s="362" customFormat="1" ht="15.75">
      <c r="A141" s="364">
        <v>103040105</v>
      </c>
      <c r="B141" s="372" t="s">
        <v>84</v>
      </c>
      <c r="C141" s="373"/>
      <c r="D141" s="367">
        <v>26569288</v>
      </c>
    </row>
    <row r="142" spans="1:4" s="362" customFormat="1" ht="15.75">
      <c r="A142" s="364">
        <v>103040106</v>
      </c>
      <c r="B142" s="372" t="s">
        <v>85</v>
      </c>
      <c r="C142" s="373"/>
      <c r="D142" s="367">
        <v>5000000</v>
      </c>
    </row>
    <row r="143" spans="1:4" s="362" customFormat="1" ht="15.75">
      <c r="A143" s="364">
        <v>103040107</v>
      </c>
      <c r="B143" s="372" t="s">
        <v>86</v>
      </c>
      <c r="C143" s="373"/>
      <c r="D143" s="367">
        <f>500000+9042959</f>
        <v>9542959</v>
      </c>
    </row>
    <row r="144" spans="2:4" s="362" customFormat="1" ht="15.75">
      <c r="B144" s="396"/>
      <c r="C144" s="396"/>
      <c r="D144" s="371">
        <f>SUM(D137:D143)</f>
        <v>93528071</v>
      </c>
    </row>
    <row r="145" spans="2:4" s="362" customFormat="1" ht="17.25" customHeight="1">
      <c r="B145" s="397" t="s">
        <v>269</v>
      </c>
      <c r="C145" s="397"/>
      <c r="D145" s="371">
        <f>+D38+D54+D70+D76+D82+D99+D105+D111+D115+D120+D125+D129+D133+D144</f>
        <v>3736653595</v>
      </c>
    </row>
    <row r="146" spans="2:4" s="362" customFormat="1" ht="17.25" customHeight="1">
      <c r="B146" s="398"/>
      <c r="C146" s="398"/>
      <c r="D146" s="371"/>
    </row>
    <row r="147" spans="1:4" s="362" customFormat="1" ht="17.25" customHeight="1">
      <c r="A147" s="357" t="s">
        <v>493</v>
      </c>
      <c r="B147" s="357"/>
      <c r="C147" s="357"/>
      <c r="D147" s="357"/>
    </row>
    <row r="148" spans="1:4" s="362" customFormat="1" ht="11.25" customHeight="1">
      <c r="A148" s="357"/>
      <c r="B148" s="357"/>
      <c r="C148" s="357"/>
      <c r="D148" s="357"/>
    </row>
    <row r="149" spans="1:4" s="362" customFormat="1" ht="22.5" customHeight="1">
      <c r="A149" s="357"/>
      <c r="B149" s="357"/>
      <c r="C149" s="357"/>
      <c r="D149" s="357"/>
    </row>
    <row r="150" spans="1:4" s="362" customFormat="1" ht="22.5" customHeight="1">
      <c r="A150" s="357"/>
      <c r="B150" s="357"/>
      <c r="C150" s="357"/>
      <c r="D150" s="357"/>
    </row>
    <row r="151" spans="1:4" s="362" customFormat="1" ht="15.75">
      <c r="A151" s="357"/>
      <c r="B151" s="357"/>
      <c r="C151" s="357"/>
      <c r="D151" s="357"/>
    </row>
    <row r="152" spans="1:4" s="362" customFormat="1" ht="15.75">
      <c r="A152" s="357"/>
      <c r="B152" s="357"/>
      <c r="C152" s="357"/>
      <c r="D152" s="357"/>
    </row>
    <row r="153" spans="1:4" s="362" customFormat="1" ht="15.75">
      <c r="A153" s="357"/>
      <c r="B153" s="357"/>
      <c r="C153" s="357"/>
      <c r="D153" s="357"/>
    </row>
    <row r="154" spans="1:4" s="362" customFormat="1" ht="15.75">
      <c r="A154" s="357"/>
      <c r="B154" s="357"/>
      <c r="C154" s="357"/>
      <c r="D154" s="357"/>
    </row>
    <row r="155" spans="1:4" s="362" customFormat="1" ht="19.5" customHeight="1">
      <c r="A155" s="358">
        <v>2</v>
      </c>
      <c r="B155" s="399" t="s">
        <v>87</v>
      </c>
      <c r="C155" s="400"/>
      <c r="D155" s="361"/>
    </row>
    <row r="156" spans="1:4" s="362" customFormat="1" ht="19.5" customHeight="1">
      <c r="A156" s="358">
        <v>201</v>
      </c>
      <c r="B156" s="401" t="s">
        <v>88</v>
      </c>
      <c r="C156" s="402"/>
      <c r="D156" s="361" t="s">
        <v>1</v>
      </c>
    </row>
    <row r="157" spans="1:4" s="362" customFormat="1" ht="19.5" customHeight="1">
      <c r="A157" s="363">
        <v>20101</v>
      </c>
      <c r="B157" s="392" t="s">
        <v>89</v>
      </c>
      <c r="C157" s="360"/>
      <c r="D157" s="361"/>
    </row>
    <row r="158" spans="1:4" s="362" customFormat="1" ht="18.75" customHeight="1">
      <c r="A158" s="364">
        <v>201010101</v>
      </c>
      <c r="B158" s="372" t="s">
        <v>90</v>
      </c>
      <c r="C158" s="373"/>
      <c r="D158" s="367">
        <f>7183032+850000</f>
        <v>8033032</v>
      </c>
    </row>
    <row r="159" spans="1:4" s="362" customFormat="1" ht="18.75" customHeight="1">
      <c r="A159" s="368">
        <v>201010102</v>
      </c>
      <c r="B159" s="372" t="s">
        <v>91</v>
      </c>
      <c r="C159" s="373"/>
      <c r="D159" s="367">
        <f>623527+50000</f>
        <v>673527</v>
      </c>
    </row>
    <row r="160" spans="1:5" s="362" customFormat="1" ht="18.75" customHeight="1">
      <c r="A160" s="368">
        <v>201010103</v>
      </c>
      <c r="B160" s="372" t="s">
        <v>92</v>
      </c>
      <c r="C160" s="373"/>
      <c r="D160" s="367">
        <f>300000+35000</f>
        <v>335000</v>
      </c>
      <c r="E160" s="362">
        <v>82</v>
      </c>
    </row>
    <row r="161" spans="1:5" s="362" customFormat="1" ht="16.5" customHeight="1">
      <c r="A161" s="368">
        <v>201010104</v>
      </c>
      <c r="B161" s="372" t="s">
        <v>93</v>
      </c>
      <c r="C161" s="373"/>
      <c r="D161" s="367">
        <f>400000+50000</f>
        <v>450000</v>
      </c>
      <c r="E161" s="403">
        <f>2289930/30</f>
        <v>76331</v>
      </c>
    </row>
    <row r="162" spans="1:5" s="362" customFormat="1" ht="16.5" customHeight="1">
      <c r="A162" s="368">
        <v>201010105</v>
      </c>
      <c r="B162" s="372" t="s">
        <v>94</v>
      </c>
      <c r="C162" s="373"/>
      <c r="D162" s="367">
        <f>58832278-1917000-264881-9961777</f>
        <v>46688620</v>
      </c>
      <c r="E162" s="403">
        <f>+E160*E161</f>
        <v>6259142</v>
      </c>
    </row>
    <row r="163" spans="1:5" s="362" customFormat="1" ht="16.5" customHeight="1">
      <c r="A163" s="368">
        <v>201010106</v>
      </c>
      <c r="B163" s="372" t="s">
        <v>95</v>
      </c>
      <c r="C163" s="373"/>
      <c r="D163" s="367">
        <v>5412000</v>
      </c>
      <c r="E163" s="403">
        <f>+E162*9</f>
        <v>56332278</v>
      </c>
    </row>
    <row r="164" spans="1:5" s="362" customFormat="1" ht="16.5" customHeight="1">
      <c r="A164" s="368">
        <v>201010107</v>
      </c>
      <c r="B164" s="374" t="s">
        <v>96</v>
      </c>
      <c r="C164" s="375"/>
      <c r="D164" s="367">
        <f>600000+32000</f>
        <v>632000</v>
      </c>
      <c r="E164" s="403">
        <v>16229950</v>
      </c>
    </row>
    <row r="165" spans="2:5" s="362" customFormat="1" ht="16.5" customHeight="1">
      <c r="B165" s="392" t="s">
        <v>97</v>
      </c>
      <c r="C165" s="360"/>
      <c r="D165" s="404">
        <f>SUM(D158:D164)</f>
        <v>62224179</v>
      </c>
      <c r="E165" s="403">
        <f>+E163+E164</f>
        <v>72562228</v>
      </c>
    </row>
    <row r="166" spans="2:4" s="362" customFormat="1" ht="16.5" customHeight="1">
      <c r="B166" s="392"/>
      <c r="C166" s="360"/>
      <c r="D166" s="405" t="s">
        <v>1</v>
      </c>
    </row>
    <row r="167" spans="1:4" s="362" customFormat="1" ht="16.5" customHeight="1">
      <c r="A167" s="362">
        <v>2010102</v>
      </c>
      <c r="B167" s="392" t="s">
        <v>98</v>
      </c>
      <c r="C167" s="360"/>
      <c r="D167" s="361"/>
    </row>
    <row r="168" spans="1:4" s="362" customFormat="1" ht="16.5" customHeight="1">
      <c r="A168" s="368">
        <v>201010201</v>
      </c>
      <c r="B168" s="378" t="s">
        <v>99</v>
      </c>
      <c r="C168" s="379"/>
      <c r="D168" s="367">
        <v>500000</v>
      </c>
    </row>
    <row r="169" spans="1:4" s="362" customFormat="1" ht="16.5" customHeight="1">
      <c r="A169" s="368">
        <v>201010202</v>
      </c>
      <c r="B169" s="372" t="s">
        <v>100</v>
      </c>
      <c r="C169" s="373"/>
      <c r="D169" s="367">
        <v>1000000</v>
      </c>
    </row>
    <row r="170" spans="1:4" s="362" customFormat="1" ht="16.5" customHeight="1">
      <c r="A170" s="368">
        <v>201010203</v>
      </c>
      <c r="B170" s="372" t="s">
        <v>101</v>
      </c>
      <c r="C170" s="373"/>
      <c r="D170" s="367">
        <v>2240976</v>
      </c>
    </row>
    <row r="171" spans="1:4" s="362" customFormat="1" ht="16.5" customHeight="1">
      <c r="A171" s="368">
        <v>201010204</v>
      </c>
      <c r="B171" s="372" t="s">
        <v>102</v>
      </c>
      <c r="C171" s="373"/>
      <c r="D171" s="367">
        <v>500000</v>
      </c>
    </row>
    <row r="172" spans="1:4" s="362" customFormat="1" ht="15.75" customHeight="1">
      <c r="A172" s="368">
        <v>201010205</v>
      </c>
      <c r="B172" s="372" t="s">
        <v>103</v>
      </c>
      <c r="C172" s="373"/>
      <c r="D172" s="367">
        <v>253145</v>
      </c>
    </row>
    <row r="173" spans="1:4" s="362" customFormat="1" ht="18.75" customHeight="1">
      <c r="A173" s="368">
        <v>201010207</v>
      </c>
      <c r="B173" s="378" t="s">
        <v>104</v>
      </c>
      <c r="C173" s="379"/>
      <c r="D173" s="367">
        <v>1371820</v>
      </c>
    </row>
    <row r="174" spans="1:4" s="362" customFormat="1" ht="17.25" customHeight="1">
      <c r="A174" s="368">
        <v>201010209</v>
      </c>
      <c r="B174" s="406" t="s">
        <v>105</v>
      </c>
      <c r="C174" s="407"/>
      <c r="D174" s="367">
        <v>0</v>
      </c>
    </row>
    <row r="175" spans="1:4" s="362" customFormat="1" ht="18.75" customHeight="1">
      <c r="A175" s="368">
        <v>201010210</v>
      </c>
      <c r="B175" s="374" t="s">
        <v>106</v>
      </c>
      <c r="C175" s="375"/>
      <c r="D175" s="367">
        <v>1149000</v>
      </c>
    </row>
    <row r="176" spans="1:4" s="362" customFormat="1" ht="18.75" customHeight="1">
      <c r="A176" s="368">
        <v>201010211</v>
      </c>
      <c r="B176" s="374" t="s">
        <v>107</v>
      </c>
      <c r="C176" s="375"/>
      <c r="D176" s="367">
        <v>369023</v>
      </c>
    </row>
    <row r="177" spans="1:4" s="362" customFormat="1" ht="15.75" customHeight="1">
      <c r="A177" s="368">
        <v>201010212</v>
      </c>
      <c r="B177" s="374" t="s">
        <v>108</v>
      </c>
      <c r="C177" s="375"/>
      <c r="D177" s="367">
        <v>500000</v>
      </c>
    </row>
    <row r="178" spans="2:4" s="362" customFormat="1" ht="20.25" customHeight="1">
      <c r="B178" s="392" t="s">
        <v>97</v>
      </c>
      <c r="C178" s="360"/>
      <c r="D178" s="404">
        <f>SUM(D168:D177)</f>
        <v>7883964</v>
      </c>
    </row>
    <row r="179" spans="2:4" s="362" customFormat="1" ht="15" customHeight="1">
      <c r="B179" s="392"/>
      <c r="C179" s="408"/>
      <c r="D179" s="409"/>
    </row>
    <row r="180" spans="1:4" s="362" customFormat="1" ht="18" customHeight="1">
      <c r="A180" s="362">
        <v>2010103</v>
      </c>
      <c r="B180" s="392" t="s">
        <v>110</v>
      </c>
      <c r="C180" s="360"/>
      <c r="D180" s="361"/>
    </row>
    <row r="181" spans="1:4" s="362" customFormat="1" ht="18" customHeight="1">
      <c r="A181" s="368">
        <v>201010301</v>
      </c>
      <c r="B181" s="378" t="s">
        <v>111</v>
      </c>
      <c r="C181" s="379"/>
      <c r="D181" s="367">
        <f>789204+900000</f>
        <v>1689204</v>
      </c>
    </row>
    <row r="182" spans="1:4" s="362" customFormat="1" ht="18" customHeight="1">
      <c r="A182" s="368">
        <v>201010302</v>
      </c>
      <c r="B182" s="378" t="s">
        <v>112</v>
      </c>
      <c r="C182" s="379"/>
      <c r="D182" s="367">
        <f>500000+264881</f>
        <v>764881</v>
      </c>
    </row>
    <row r="183" spans="2:4" s="362" customFormat="1" ht="18" customHeight="1">
      <c r="B183" s="392" t="s">
        <v>97</v>
      </c>
      <c r="C183" s="360"/>
      <c r="D183" s="371">
        <f>SUM(D181:D182)</f>
        <v>2454085</v>
      </c>
    </row>
    <row r="184" spans="2:5" s="362" customFormat="1" ht="18" customHeight="1">
      <c r="B184" s="392" t="s">
        <v>113</v>
      </c>
      <c r="C184" s="408"/>
      <c r="D184" s="409">
        <f>D178+D165+D183</f>
        <v>72562228</v>
      </c>
      <c r="E184" s="410"/>
    </row>
    <row r="185" spans="3:4" s="362" customFormat="1" ht="18" customHeight="1">
      <c r="C185" s="360"/>
      <c r="D185" s="404"/>
    </row>
    <row r="186" spans="1:4" s="362" customFormat="1" ht="18" customHeight="1">
      <c r="A186" s="358">
        <v>20102</v>
      </c>
      <c r="B186" s="359" t="s">
        <v>114</v>
      </c>
      <c r="C186" s="360"/>
      <c r="D186" s="361"/>
    </row>
    <row r="187" spans="1:4" s="362" customFormat="1" ht="15" customHeight="1">
      <c r="A187" s="363">
        <v>2010201</v>
      </c>
      <c r="B187" s="411" t="s">
        <v>89</v>
      </c>
      <c r="C187" s="360"/>
      <c r="D187" s="361"/>
    </row>
    <row r="188" spans="1:4" s="362" customFormat="1" ht="18" customHeight="1">
      <c r="A188" s="364">
        <v>201020101</v>
      </c>
      <c r="B188" s="372" t="s">
        <v>115</v>
      </c>
      <c r="C188" s="373"/>
      <c r="D188" s="367">
        <v>38921664</v>
      </c>
    </row>
    <row r="189" spans="1:4" s="362" customFormat="1" ht="17.25" customHeight="1">
      <c r="A189" s="368">
        <v>201020102</v>
      </c>
      <c r="B189" s="372" t="s">
        <v>91</v>
      </c>
      <c r="C189" s="373"/>
      <c r="D189" s="367">
        <v>3396636</v>
      </c>
    </row>
    <row r="190" spans="1:4" s="362" customFormat="1" ht="17.25" customHeight="1">
      <c r="A190" s="368">
        <v>201020103</v>
      </c>
      <c r="B190" s="372" t="s">
        <v>116</v>
      </c>
      <c r="C190" s="373"/>
      <c r="D190" s="367">
        <v>1837968</v>
      </c>
    </row>
    <row r="191" spans="1:4" s="362" customFormat="1" ht="17.25" customHeight="1">
      <c r="A191" s="368">
        <v>201020104</v>
      </c>
      <c r="B191" s="372" t="s">
        <v>93</v>
      </c>
      <c r="C191" s="373"/>
      <c r="D191" s="367">
        <v>2010950</v>
      </c>
    </row>
    <row r="192" spans="1:4" s="362" customFormat="1" ht="17.25" customHeight="1">
      <c r="A192" s="368">
        <v>201020105</v>
      </c>
      <c r="B192" s="412" t="s">
        <v>117</v>
      </c>
      <c r="C192" s="413"/>
      <c r="D192" s="367">
        <v>200001</v>
      </c>
    </row>
    <row r="193" spans="1:4" s="362" customFormat="1" ht="17.25" customHeight="1">
      <c r="A193" s="414">
        <v>201020106</v>
      </c>
      <c r="B193" s="374" t="s">
        <v>169</v>
      </c>
      <c r="C193" s="375"/>
      <c r="D193" s="383">
        <v>3019999</v>
      </c>
    </row>
    <row r="194" spans="2:4" s="362" customFormat="1" ht="17.25" customHeight="1">
      <c r="B194" s="392" t="s">
        <v>97</v>
      </c>
      <c r="C194" s="360"/>
      <c r="D194" s="371">
        <f>SUM(D188:D193)</f>
        <v>49387218</v>
      </c>
    </row>
    <row r="195" spans="2:4" s="362" customFormat="1" ht="17.25" customHeight="1">
      <c r="B195" s="392"/>
      <c r="C195" s="360"/>
      <c r="D195" s="361"/>
    </row>
    <row r="196" spans="1:4" s="362" customFormat="1" ht="17.25" customHeight="1">
      <c r="A196" s="362">
        <v>2010202</v>
      </c>
      <c r="B196" s="392" t="s">
        <v>118</v>
      </c>
      <c r="C196" s="360"/>
      <c r="D196" s="361"/>
    </row>
    <row r="197" spans="1:4" s="362" customFormat="1" ht="17.25" customHeight="1">
      <c r="A197" s="368">
        <v>201020201</v>
      </c>
      <c r="B197" s="372" t="s">
        <v>119</v>
      </c>
      <c r="C197" s="373"/>
      <c r="D197" s="367">
        <f>36402+99000</f>
        <v>135402</v>
      </c>
    </row>
    <row r="198" spans="1:4" s="362" customFormat="1" ht="17.25" customHeight="1">
      <c r="A198" s="368">
        <v>201020202</v>
      </c>
      <c r="B198" s="372" t="s">
        <v>120</v>
      </c>
      <c r="C198" s="373"/>
      <c r="D198" s="367">
        <v>1500000</v>
      </c>
    </row>
    <row r="199" spans="1:4" s="362" customFormat="1" ht="17.25" customHeight="1">
      <c r="A199" s="368">
        <v>201020203</v>
      </c>
      <c r="B199" s="372" t="s">
        <v>121</v>
      </c>
      <c r="C199" s="373"/>
      <c r="D199" s="367">
        <v>10000</v>
      </c>
    </row>
    <row r="200" spans="1:4" s="362" customFormat="1" ht="19.5" customHeight="1">
      <c r="A200" s="368">
        <v>201020204</v>
      </c>
      <c r="B200" s="372" t="s">
        <v>122</v>
      </c>
      <c r="C200" s="373"/>
      <c r="D200" s="367">
        <v>20000</v>
      </c>
    </row>
    <row r="201" spans="1:4" s="362" customFormat="1" ht="15.75">
      <c r="A201" s="368">
        <v>201020205</v>
      </c>
      <c r="B201" s="389" t="s">
        <v>123</v>
      </c>
      <c r="C201" s="390"/>
      <c r="D201" s="367">
        <v>3257088</v>
      </c>
    </row>
    <row r="202" spans="1:4" s="362" customFormat="1" ht="18" customHeight="1">
      <c r="A202" s="368">
        <v>201020206</v>
      </c>
      <c r="B202" s="389" t="s">
        <v>124</v>
      </c>
      <c r="C202" s="390"/>
      <c r="D202" s="367">
        <v>100000</v>
      </c>
    </row>
    <row r="203" spans="1:4" s="362" customFormat="1" ht="18" customHeight="1">
      <c r="A203" s="368">
        <v>201020207</v>
      </c>
      <c r="B203" s="378" t="s">
        <v>125</v>
      </c>
      <c r="C203" s="379"/>
      <c r="D203" s="367">
        <v>1000</v>
      </c>
    </row>
    <row r="204" spans="1:4" s="362" customFormat="1" ht="21" customHeight="1">
      <c r="A204" s="368">
        <v>201020208</v>
      </c>
      <c r="B204" s="378" t="s">
        <v>126</v>
      </c>
      <c r="C204" s="379"/>
      <c r="D204" s="367">
        <v>10000</v>
      </c>
    </row>
    <row r="205" spans="1:4" s="362" customFormat="1" ht="17.25" customHeight="1">
      <c r="A205" s="368">
        <v>201020209</v>
      </c>
      <c r="B205" s="372" t="s">
        <v>127</v>
      </c>
      <c r="C205" s="373"/>
      <c r="D205" s="367">
        <v>2000000</v>
      </c>
    </row>
    <row r="206" spans="1:4" s="362" customFormat="1" ht="15" customHeight="1">
      <c r="A206" s="368">
        <v>201020210</v>
      </c>
      <c r="B206" s="372" t="s">
        <v>128</v>
      </c>
      <c r="C206" s="373"/>
      <c r="D206" s="367">
        <v>1322401</v>
      </c>
    </row>
    <row r="207" spans="2:4" s="362" customFormat="1" ht="17.25" customHeight="1">
      <c r="B207" s="392" t="s">
        <v>97</v>
      </c>
      <c r="C207" s="360"/>
      <c r="D207" s="404">
        <f>SUM(D197:D206)</f>
        <v>8355891</v>
      </c>
    </row>
    <row r="208" spans="2:4" s="362" customFormat="1" ht="15" customHeight="1">
      <c r="B208" s="392"/>
      <c r="C208" s="360"/>
      <c r="D208" s="405"/>
    </row>
    <row r="209" spans="1:4" s="362" customFormat="1" ht="17.25" customHeight="1">
      <c r="A209" s="363">
        <v>2010203</v>
      </c>
      <c r="B209" s="392" t="s">
        <v>110</v>
      </c>
      <c r="C209" s="360"/>
      <c r="D209" s="361"/>
    </row>
    <row r="210" spans="1:4" s="362" customFormat="1" ht="15" customHeight="1">
      <c r="A210" s="364">
        <v>201020301</v>
      </c>
      <c r="B210" s="378" t="s">
        <v>111</v>
      </c>
      <c r="C210" s="379"/>
      <c r="D210" s="367">
        <v>7978941</v>
      </c>
    </row>
    <row r="211" spans="1:4" s="362" customFormat="1" ht="19.5" customHeight="1">
      <c r="A211" s="368">
        <v>201020302</v>
      </c>
      <c r="B211" s="378" t="s">
        <v>112</v>
      </c>
      <c r="C211" s="379"/>
      <c r="D211" s="367">
        <v>3502950</v>
      </c>
    </row>
    <row r="212" spans="2:4" s="362" customFormat="1" ht="18.75" customHeight="1">
      <c r="B212" s="415" t="s">
        <v>97</v>
      </c>
      <c r="C212" s="416"/>
      <c r="D212" s="417">
        <f>SUM(D210:D211)</f>
        <v>11481891</v>
      </c>
    </row>
    <row r="213" spans="2:5" s="362" customFormat="1" ht="17.25" customHeight="1">
      <c r="B213" s="392" t="s">
        <v>129</v>
      </c>
      <c r="C213" s="360"/>
      <c r="D213" s="404">
        <f>+D212+D207+D194</f>
        <v>69225000</v>
      </c>
      <c r="E213" s="418"/>
    </row>
    <row r="214" spans="2:4" s="362" customFormat="1" ht="12.75" customHeight="1">
      <c r="B214" s="392"/>
      <c r="C214" s="360"/>
      <c r="D214" s="405"/>
    </row>
    <row r="215" spans="1:4" s="362" customFormat="1" ht="18.75" customHeight="1">
      <c r="A215" s="358">
        <v>20103</v>
      </c>
      <c r="B215" s="419" t="s">
        <v>130</v>
      </c>
      <c r="C215" s="419"/>
      <c r="D215" s="361" t="s">
        <v>1</v>
      </c>
    </row>
    <row r="216" spans="1:4" s="362" customFormat="1" ht="16.5" customHeight="1">
      <c r="A216" s="363">
        <v>2010301</v>
      </c>
      <c r="B216" s="396" t="s">
        <v>131</v>
      </c>
      <c r="C216" s="360"/>
      <c r="D216" s="361"/>
    </row>
    <row r="217" spans="1:4" s="362" customFormat="1" ht="16.5" customHeight="1">
      <c r="A217" s="364">
        <v>201030101</v>
      </c>
      <c r="B217" s="372" t="s">
        <v>115</v>
      </c>
      <c r="C217" s="373"/>
      <c r="D217" s="367">
        <f>40028568</f>
        <v>40028568</v>
      </c>
    </row>
    <row r="218" spans="1:4" s="362" customFormat="1" ht="16.5" customHeight="1">
      <c r="A218" s="368">
        <v>201030102</v>
      </c>
      <c r="B218" s="372" t="s">
        <v>132</v>
      </c>
      <c r="C218" s="373"/>
      <c r="D218" s="367">
        <f>3474703</f>
        <v>3474703</v>
      </c>
    </row>
    <row r="219" spans="1:4" s="362" customFormat="1" ht="16.5" customHeight="1">
      <c r="A219" s="368">
        <v>201030103</v>
      </c>
      <c r="B219" s="372" t="s">
        <v>92</v>
      </c>
      <c r="C219" s="373"/>
      <c r="D219" s="367">
        <f>1667859+91730+1515225+64028</f>
        <v>3338842</v>
      </c>
    </row>
    <row r="220" spans="2:4" s="362" customFormat="1" ht="17.25" customHeight="1">
      <c r="B220" s="392" t="s">
        <v>97</v>
      </c>
      <c r="C220" s="360"/>
      <c r="D220" s="404">
        <f>SUM(D217:D219)</f>
        <v>46842113</v>
      </c>
    </row>
    <row r="221" spans="2:4" s="362" customFormat="1" ht="3.75" customHeight="1">
      <c r="B221" s="392"/>
      <c r="C221" s="360"/>
      <c r="D221" s="361"/>
    </row>
    <row r="222" spans="1:4" s="362" customFormat="1" ht="15.75">
      <c r="A222" s="363">
        <v>2010302</v>
      </c>
      <c r="B222" s="392" t="s">
        <v>133</v>
      </c>
      <c r="C222" s="360"/>
      <c r="D222" s="361"/>
    </row>
    <row r="223" spans="1:4" s="362" customFormat="1" ht="20.25" customHeight="1">
      <c r="A223" s="364">
        <v>201030201</v>
      </c>
      <c r="B223" s="378" t="s">
        <v>134</v>
      </c>
      <c r="C223" s="379"/>
      <c r="D223" s="367">
        <f>56565697+11212364</f>
        <v>67778061</v>
      </c>
    </row>
    <row r="224" spans="1:4" s="362" customFormat="1" ht="21" customHeight="1">
      <c r="A224" s="368">
        <v>201030202</v>
      </c>
      <c r="B224" s="378" t="s">
        <v>135</v>
      </c>
      <c r="C224" s="379"/>
      <c r="D224" s="367">
        <f>25265075+1303078</f>
        <v>26568153</v>
      </c>
    </row>
    <row r="225" spans="1:4" s="362" customFormat="1" ht="21" customHeight="1">
      <c r="A225" s="368">
        <v>201030203</v>
      </c>
      <c r="B225" s="378" t="s">
        <v>136</v>
      </c>
      <c r="C225" s="379"/>
      <c r="D225" s="367">
        <v>1000000</v>
      </c>
    </row>
    <row r="226" spans="1:4" s="362" customFormat="1" ht="21" customHeight="1">
      <c r="A226" s="368">
        <v>201030204</v>
      </c>
      <c r="B226" s="372" t="s">
        <v>137</v>
      </c>
      <c r="C226" s="373"/>
      <c r="D226" s="367">
        <v>70178000</v>
      </c>
    </row>
    <row r="227" spans="2:4" s="362" customFormat="1" ht="21" customHeight="1">
      <c r="B227" s="392" t="s">
        <v>97</v>
      </c>
      <c r="C227" s="360"/>
      <c r="D227" s="404">
        <f>SUM(D223:D226)</f>
        <v>165524214</v>
      </c>
    </row>
    <row r="228" spans="2:4" s="362" customFormat="1" ht="21" customHeight="1">
      <c r="B228" s="392" t="s">
        <v>138</v>
      </c>
      <c r="C228" s="360"/>
      <c r="D228" s="371">
        <f>+D220+D227</f>
        <v>212366327</v>
      </c>
    </row>
    <row r="229" spans="2:4" s="362" customFormat="1" ht="15.75">
      <c r="B229" s="370"/>
      <c r="C229" s="360"/>
      <c r="D229" s="361"/>
    </row>
    <row r="230" spans="1:4" s="362" customFormat="1" ht="20.25" customHeight="1">
      <c r="A230" s="358">
        <v>20104</v>
      </c>
      <c r="B230" s="419" t="s">
        <v>139</v>
      </c>
      <c r="C230" s="419"/>
      <c r="D230" s="361"/>
    </row>
    <row r="231" spans="1:4" s="362" customFormat="1" ht="20.25" customHeight="1">
      <c r="A231" s="363">
        <v>2010401</v>
      </c>
      <c r="B231" s="392" t="s">
        <v>89</v>
      </c>
      <c r="C231" s="360"/>
      <c r="D231" s="361"/>
    </row>
    <row r="232" spans="1:4" s="362" customFormat="1" ht="20.25" customHeight="1">
      <c r="A232" s="364">
        <v>201040101</v>
      </c>
      <c r="B232" s="372" t="s">
        <v>140</v>
      </c>
      <c r="C232" s="373"/>
      <c r="D232" s="367">
        <f>44639760</f>
        <v>44639760</v>
      </c>
    </row>
    <row r="233" spans="1:4" s="362" customFormat="1" ht="20.25" customHeight="1">
      <c r="A233" s="368">
        <v>201040102</v>
      </c>
      <c r="B233" s="372" t="s">
        <v>91</v>
      </c>
      <c r="C233" s="373"/>
      <c r="D233" s="367">
        <f>3875000</f>
        <v>3875000</v>
      </c>
    </row>
    <row r="234" spans="1:4" s="362" customFormat="1" ht="20.25" customHeight="1">
      <c r="A234" s="368">
        <v>201040103</v>
      </c>
      <c r="B234" s="372" t="s">
        <v>141</v>
      </c>
      <c r="C234" s="373"/>
      <c r="D234" s="367">
        <f>1860000+111590+398201</f>
        <v>2369791</v>
      </c>
    </row>
    <row r="235" spans="2:4" s="362" customFormat="1" ht="16.5" customHeight="1">
      <c r="B235" s="392" t="s">
        <v>97</v>
      </c>
      <c r="C235" s="360"/>
      <c r="D235" s="404">
        <f>SUM(D232:D234)</f>
        <v>50884551</v>
      </c>
    </row>
    <row r="236" spans="2:4" s="362" customFormat="1" ht="15.75">
      <c r="B236" s="392"/>
      <c r="C236" s="360"/>
      <c r="D236" s="405"/>
    </row>
    <row r="237" spans="1:4" s="362" customFormat="1" ht="15.75">
      <c r="A237" s="358">
        <v>20105</v>
      </c>
      <c r="B237" s="419" t="s">
        <v>142</v>
      </c>
      <c r="C237" s="419"/>
      <c r="D237" s="361"/>
    </row>
    <row r="238" spans="1:4" s="362" customFormat="1" ht="15.75" customHeight="1">
      <c r="A238" s="363">
        <v>2010501</v>
      </c>
      <c r="B238" s="392" t="s">
        <v>89</v>
      </c>
      <c r="C238" s="360"/>
      <c r="D238" s="361"/>
    </row>
    <row r="239" spans="1:4" s="362" customFormat="1" ht="20.25" customHeight="1">
      <c r="A239" s="364">
        <v>201050101</v>
      </c>
      <c r="B239" s="372" t="s">
        <v>140</v>
      </c>
      <c r="C239" s="373"/>
      <c r="D239" s="367">
        <f>52896312</f>
        <v>52896312</v>
      </c>
    </row>
    <row r="240" spans="1:4" s="362" customFormat="1" ht="21" customHeight="1">
      <c r="A240" s="368">
        <v>201050102</v>
      </c>
      <c r="B240" s="372" t="s">
        <v>91</v>
      </c>
      <c r="C240" s="373"/>
      <c r="D240" s="367">
        <f>4592000+275197</f>
        <v>4867197</v>
      </c>
    </row>
    <row r="241" spans="1:4" s="362" customFormat="1" ht="21" customHeight="1">
      <c r="A241" s="368">
        <v>201050103</v>
      </c>
      <c r="B241" s="372" t="s">
        <v>141</v>
      </c>
      <c r="C241" s="373"/>
      <c r="D241" s="367">
        <f>2214460+121795+428871+469054</f>
        <v>3234180</v>
      </c>
    </row>
    <row r="242" spans="2:4" s="362" customFormat="1" ht="18.75" customHeight="1">
      <c r="B242" s="420" t="s">
        <v>143</v>
      </c>
      <c r="C242" s="420"/>
      <c r="D242" s="371">
        <f>SUM(D239:D241)</f>
        <v>60997689</v>
      </c>
    </row>
    <row r="243" spans="2:4" s="362" customFormat="1" ht="13.5" customHeight="1">
      <c r="B243" s="396"/>
      <c r="C243" s="396"/>
      <c r="D243" s="361"/>
    </row>
    <row r="244" spans="1:4" s="362" customFormat="1" ht="15.75" customHeight="1">
      <c r="A244" s="358">
        <v>20106</v>
      </c>
      <c r="B244" s="419" t="s">
        <v>144</v>
      </c>
      <c r="C244" s="419"/>
      <c r="D244" s="361"/>
    </row>
    <row r="245" spans="1:4" s="362" customFormat="1" ht="15.75" customHeight="1">
      <c r="A245" s="363">
        <v>2010601</v>
      </c>
      <c r="B245" s="392" t="s">
        <v>89</v>
      </c>
      <c r="C245" s="360"/>
      <c r="D245" s="361"/>
    </row>
    <row r="246" spans="1:4" s="362" customFormat="1" ht="15.75" customHeight="1">
      <c r="A246" s="364">
        <v>201060101</v>
      </c>
      <c r="B246" s="372" t="s">
        <v>145</v>
      </c>
      <c r="C246" s="373"/>
      <c r="D246" s="367">
        <f>30468000</f>
        <v>30468000</v>
      </c>
    </row>
    <row r="247" spans="1:4" s="362" customFormat="1" ht="15.75" customHeight="1">
      <c r="A247" s="368">
        <v>201060102</v>
      </c>
      <c r="B247" s="372" t="s">
        <v>91</v>
      </c>
      <c r="C247" s="373"/>
      <c r="D247" s="367">
        <f>2645000+158475+7384</f>
        <v>2810859</v>
      </c>
    </row>
    <row r="248" spans="1:4" s="362" customFormat="1" ht="15.75" customHeight="1">
      <c r="A248" s="368">
        <v>201060103</v>
      </c>
      <c r="B248" s="372" t="s">
        <v>116</v>
      </c>
      <c r="C248" s="373"/>
      <c r="D248" s="367">
        <f>1269500+76167+1169647</f>
        <v>2515314</v>
      </c>
    </row>
    <row r="249" spans="2:4" s="362" customFormat="1" ht="18.75" customHeight="1">
      <c r="B249" s="420" t="s">
        <v>146</v>
      </c>
      <c r="C249" s="420"/>
      <c r="D249" s="371">
        <f>SUM(D246:D248)</f>
        <v>35794173</v>
      </c>
    </row>
    <row r="250" spans="2:4" s="362" customFormat="1" ht="18.75" customHeight="1">
      <c r="B250" s="392"/>
      <c r="C250" s="360"/>
      <c r="D250" s="361"/>
    </row>
    <row r="251" spans="1:4" s="362" customFormat="1" ht="15.75">
      <c r="A251" s="358">
        <v>20107</v>
      </c>
      <c r="B251" s="419" t="s">
        <v>147</v>
      </c>
      <c r="C251" s="419"/>
      <c r="D251" s="361"/>
    </row>
    <row r="252" spans="1:4" s="362" customFormat="1" ht="18.75" customHeight="1">
      <c r="A252" s="363">
        <v>2010701</v>
      </c>
      <c r="B252" s="392" t="s">
        <v>89</v>
      </c>
      <c r="C252" s="360"/>
      <c r="D252" s="361"/>
    </row>
    <row r="253" spans="1:4" s="362" customFormat="1" ht="18.75" customHeight="1">
      <c r="A253" s="364">
        <v>201070101</v>
      </c>
      <c r="B253" s="421" t="s">
        <v>148</v>
      </c>
      <c r="C253" s="422"/>
      <c r="D253" s="367">
        <f>12161048</f>
        <v>12161048</v>
      </c>
    </row>
    <row r="254" spans="1:4" s="362" customFormat="1" ht="18.75" customHeight="1">
      <c r="A254" s="368">
        <v>201070102</v>
      </c>
      <c r="B254" s="423" t="s">
        <v>91</v>
      </c>
      <c r="C254" s="424"/>
      <c r="D254" s="367">
        <f>817380</f>
        <v>817380</v>
      </c>
    </row>
    <row r="255" spans="1:4" s="362" customFormat="1" ht="18.75" customHeight="1">
      <c r="A255" s="368">
        <v>201070103</v>
      </c>
      <c r="B255" s="423" t="s">
        <v>92</v>
      </c>
      <c r="C255" s="424"/>
      <c r="D255" s="367">
        <f>392343</f>
        <v>392343</v>
      </c>
    </row>
    <row r="256" spans="2:4" s="362" customFormat="1" ht="18.75" customHeight="1">
      <c r="B256" s="420" t="s">
        <v>149</v>
      </c>
      <c r="C256" s="420"/>
      <c r="D256" s="371">
        <f>SUM(D253:D255)</f>
        <v>13370771</v>
      </c>
    </row>
    <row r="257" spans="2:4" s="362" customFormat="1" ht="18.75" customHeight="1">
      <c r="B257" s="396"/>
      <c r="C257" s="396"/>
      <c r="D257" s="361"/>
    </row>
    <row r="258" spans="1:4" s="362" customFormat="1" ht="18.75" customHeight="1">
      <c r="A258" s="358">
        <v>20108</v>
      </c>
      <c r="B258" s="359" t="s">
        <v>150</v>
      </c>
      <c r="C258" s="360"/>
      <c r="D258" s="361"/>
    </row>
    <row r="259" spans="1:4" s="362" customFormat="1" ht="17.25" customHeight="1">
      <c r="A259" s="363">
        <v>2010801</v>
      </c>
      <c r="B259" s="392" t="s">
        <v>89</v>
      </c>
      <c r="C259" s="360"/>
      <c r="D259" s="361"/>
    </row>
    <row r="260" spans="1:4" s="362" customFormat="1" ht="18.75" customHeight="1">
      <c r="A260" s="364">
        <v>201080101</v>
      </c>
      <c r="B260" s="372" t="s">
        <v>145</v>
      </c>
      <c r="C260" s="373"/>
      <c r="D260" s="367">
        <f>46222776</f>
        <v>46222776</v>
      </c>
    </row>
    <row r="261" spans="1:4" s="362" customFormat="1" ht="15.75" customHeight="1">
      <c r="A261" s="368">
        <v>201080102</v>
      </c>
      <c r="B261" s="372" t="s">
        <v>91</v>
      </c>
      <c r="C261" s="373"/>
      <c r="D261" s="367">
        <f>4012395</f>
        <v>4012395</v>
      </c>
    </row>
    <row r="262" spans="1:4" s="362" customFormat="1" ht="15.75" customHeight="1">
      <c r="A262" s="368">
        <v>201080103</v>
      </c>
      <c r="B262" s="372" t="s">
        <v>141</v>
      </c>
      <c r="C262" s="373"/>
      <c r="D262" s="367">
        <f>1925949</f>
        <v>1925949</v>
      </c>
    </row>
    <row r="263" spans="1:4" s="362" customFormat="1" ht="15.75" customHeight="1">
      <c r="A263" s="368">
        <v>201080104</v>
      </c>
      <c r="B263" s="372" t="s">
        <v>93</v>
      </c>
      <c r="C263" s="373"/>
      <c r="D263" s="367">
        <f>2300000+637990+2126632+1616240+926853+1148381</f>
        <v>8756096</v>
      </c>
    </row>
    <row r="264" spans="1:4" s="362" customFormat="1" ht="15.75" customHeight="1">
      <c r="A264" s="368">
        <v>201080105</v>
      </c>
      <c r="B264" s="372" t="s">
        <v>151</v>
      </c>
      <c r="C264" s="373"/>
      <c r="D264" s="367">
        <v>13000000</v>
      </c>
    </row>
    <row r="265" spans="2:4" s="362" customFormat="1" ht="15.75" customHeight="1">
      <c r="B265" s="392" t="s">
        <v>97</v>
      </c>
      <c r="C265" s="360"/>
      <c r="D265" s="404">
        <f>SUM(D260:D264)</f>
        <v>73917216</v>
      </c>
    </row>
    <row r="266" spans="2:4" s="362" customFormat="1" ht="15.75" customHeight="1">
      <c r="B266" s="392"/>
      <c r="C266" s="360"/>
      <c r="D266" s="405"/>
    </row>
    <row r="267" spans="1:4" s="362" customFormat="1" ht="15.75" customHeight="1">
      <c r="A267" s="425">
        <v>2010802</v>
      </c>
      <c r="B267" s="392" t="s">
        <v>98</v>
      </c>
      <c r="C267" s="360"/>
      <c r="D267" s="361"/>
    </row>
    <row r="268" spans="1:4" s="362" customFormat="1" ht="15.75" customHeight="1">
      <c r="A268" s="364">
        <v>201080201</v>
      </c>
      <c r="B268" s="372" t="s">
        <v>152</v>
      </c>
      <c r="C268" s="373"/>
      <c r="D268" s="426">
        <v>37842958</v>
      </c>
    </row>
    <row r="269" spans="1:4" s="362" customFormat="1" ht="15.75" customHeight="1">
      <c r="A269" s="368">
        <v>201080202</v>
      </c>
      <c r="B269" s="372" t="s">
        <v>153</v>
      </c>
      <c r="C269" s="373"/>
      <c r="D269" s="426">
        <v>1</v>
      </c>
    </row>
    <row r="270" spans="1:4" s="362" customFormat="1" ht="15.75" customHeight="1">
      <c r="A270" s="368">
        <v>201080203</v>
      </c>
      <c r="B270" s="372" t="s">
        <v>101</v>
      </c>
      <c r="C270" s="373"/>
      <c r="D270" s="426">
        <v>16000000</v>
      </c>
    </row>
    <row r="271" spans="1:4" s="362" customFormat="1" ht="15.75" customHeight="1">
      <c r="A271" s="368">
        <v>201080204</v>
      </c>
      <c r="B271" s="372" t="s">
        <v>102</v>
      </c>
      <c r="C271" s="373"/>
      <c r="D271" s="426">
        <v>2000000</v>
      </c>
    </row>
    <row r="272" spans="1:4" s="362" customFormat="1" ht="15.75" customHeight="1">
      <c r="A272" s="368">
        <v>201080205</v>
      </c>
      <c r="B272" s="372" t="s">
        <v>103</v>
      </c>
      <c r="C272" s="373"/>
      <c r="D272" s="426">
        <v>4000000</v>
      </c>
    </row>
    <row r="273" spans="1:4" s="362" customFormat="1" ht="15.75" customHeight="1">
      <c r="A273" s="368">
        <v>201080206</v>
      </c>
      <c r="B273" s="372" t="s">
        <v>154</v>
      </c>
      <c r="C273" s="373"/>
      <c r="D273" s="426">
        <v>35000000</v>
      </c>
    </row>
    <row r="274" spans="1:4" s="362" customFormat="1" ht="15.75" customHeight="1">
      <c r="A274" s="368">
        <v>201080207</v>
      </c>
      <c r="B274" s="378" t="s">
        <v>155</v>
      </c>
      <c r="C274" s="379"/>
      <c r="D274" s="426">
        <v>4000000</v>
      </c>
    </row>
    <row r="275" spans="1:4" s="362" customFormat="1" ht="16.5" customHeight="1">
      <c r="A275" s="368">
        <v>201080208</v>
      </c>
      <c r="B275" s="372" t="s">
        <v>156</v>
      </c>
      <c r="C275" s="373"/>
      <c r="D275" s="426">
        <v>1</v>
      </c>
    </row>
    <row r="276" spans="1:4" s="362" customFormat="1" ht="15.75" customHeight="1">
      <c r="A276" s="368">
        <v>201080209</v>
      </c>
      <c r="B276" s="378" t="s">
        <v>157</v>
      </c>
      <c r="C276" s="379"/>
      <c r="D276" s="426">
        <v>1</v>
      </c>
    </row>
    <row r="277" spans="1:4" s="362" customFormat="1" ht="15.75" customHeight="1">
      <c r="A277" s="368">
        <v>201080210</v>
      </c>
      <c r="B277" s="372" t="s">
        <v>158</v>
      </c>
      <c r="C277" s="373"/>
      <c r="D277" s="426">
        <v>2000000</v>
      </c>
    </row>
    <row r="278" spans="1:4" s="362" customFormat="1" ht="15" customHeight="1">
      <c r="A278" s="368">
        <v>201080212</v>
      </c>
      <c r="B278" s="372" t="s">
        <v>123</v>
      </c>
      <c r="C278" s="373"/>
      <c r="D278" s="426">
        <f>36671600+2717827</f>
        <v>39389427</v>
      </c>
    </row>
    <row r="279" spans="1:4" s="362" customFormat="1" ht="15" customHeight="1">
      <c r="A279" s="368">
        <v>201080213</v>
      </c>
      <c r="B279" s="372" t="s">
        <v>159</v>
      </c>
      <c r="C279" s="373"/>
      <c r="D279" s="426">
        <v>566758</v>
      </c>
    </row>
    <row r="280" spans="1:4" s="362" customFormat="1" ht="15" customHeight="1">
      <c r="A280" s="368">
        <v>201080214</v>
      </c>
      <c r="B280" s="372" t="s">
        <v>160</v>
      </c>
      <c r="C280" s="373"/>
      <c r="D280" s="426">
        <v>2300000</v>
      </c>
    </row>
    <row r="281" spans="1:4" s="362" customFormat="1" ht="15.75">
      <c r="A281" s="368">
        <v>201080215</v>
      </c>
      <c r="B281" s="378" t="s">
        <v>161</v>
      </c>
      <c r="C281" s="379"/>
      <c r="D281" s="426">
        <v>8000000</v>
      </c>
    </row>
    <row r="282" spans="1:4" s="362" customFormat="1" ht="15" customHeight="1">
      <c r="A282" s="368">
        <v>201080216</v>
      </c>
      <c r="B282" s="378" t="s">
        <v>162</v>
      </c>
      <c r="C282" s="379"/>
      <c r="D282" s="426">
        <v>40000000</v>
      </c>
    </row>
    <row r="283" spans="1:4" s="362" customFormat="1" ht="15" customHeight="1">
      <c r="A283" s="368">
        <v>201080217</v>
      </c>
      <c r="B283" s="378" t="s">
        <v>163</v>
      </c>
      <c r="C283" s="379"/>
      <c r="D283" s="426">
        <v>10000000</v>
      </c>
    </row>
    <row r="284" spans="1:4" s="362" customFormat="1" ht="15" customHeight="1">
      <c r="A284" s="368">
        <v>201080218</v>
      </c>
      <c r="B284" s="372" t="s">
        <v>128</v>
      </c>
      <c r="C284" s="373"/>
      <c r="D284" s="367">
        <v>100000000</v>
      </c>
    </row>
    <row r="285" spans="1:4" s="362" customFormat="1" ht="15" customHeight="1">
      <c r="A285" s="368">
        <v>201080219</v>
      </c>
      <c r="B285" s="374" t="s">
        <v>109</v>
      </c>
      <c r="C285" s="375"/>
      <c r="D285" s="426">
        <v>6700000</v>
      </c>
    </row>
    <row r="286" spans="2:4" s="362" customFormat="1" ht="15" customHeight="1">
      <c r="B286" s="392" t="s">
        <v>97</v>
      </c>
      <c r="C286" s="360"/>
      <c r="D286" s="371">
        <f>SUM(D268:D285)</f>
        <v>307799146</v>
      </c>
    </row>
    <row r="287" spans="2:4" s="362" customFormat="1" ht="15" customHeight="1">
      <c r="B287" s="420" t="s">
        <v>164</v>
      </c>
      <c r="C287" s="420"/>
      <c r="D287" s="371">
        <f>+D286+D265</f>
        <v>381716362</v>
      </c>
    </row>
    <row r="288" spans="2:4" s="362" customFormat="1" ht="15" customHeight="1">
      <c r="B288" s="392"/>
      <c r="C288" s="360"/>
      <c r="D288" s="361"/>
    </row>
    <row r="289" spans="1:4" s="362" customFormat="1" ht="15.75">
      <c r="A289" s="358">
        <v>2010803</v>
      </c>
      <c r="B289" s="427" t="s">
        <v>165</v>
      </c>
      <c r="C289" s="427"/>
      <c r="D289" s="361"/>
    </row>
    <row r="290" spans="1:4" s="362" customFormat="1" ht="15.75">
      <c r="A290" s="363"/>
      <c r="B290" s="428"/>
      <c r="C290" s="428"/>
      <c r="D290" s="361"/>
    </row>
    <row r="291" spans="1:4" s="362" customFormat="1" ht="18" customHeight="1">
      <c r="A291" s="364">
        <v>201080301</v>
      </c>
      <c r="B291" s="372" t="s">
        <v>166</v>
      </c>
      <c r="C291" s="373"/>
      <c r="D291" s="367">
        <v>42194520</v>
      </c>
    </row>
    <row r="292" spans="1:4" s="362" customFormat="1" ht="18" customHeight="1">
      <c r="A292" s="368">
        <v>201080302</v>
      </c>
      <c r="B292" s="378" t="s">
        <v>167</v>
      </c>
      <c r="C292" s="379"/>
      <c r="D292" s="367">
        <v>3516210</v>
      </c>
    </row>
    <row r="293" spans="1:4" s="362" customFormat="1" ht="18" customHeight="1">
      <c r="A293" s="368">
        <v>201080303</v>
      </c>
      <c r="B293" s="372" t="s">
        <v>91</v>
      </c>
      <c r="C293" s="373"/>
      <c r="D293" s="367">
        <v>3516210</v>
      </c>
    </row>
    <row r="294" spans="1:4" s="362" customFormat="1" ht="18" customHeight="1">
      <c r="A294" s="368">
        <v>201080304</v>
      </c>
      <c r="B294" s="372" t="s">
        <v>168</v>
      </c>
      <c r="C294" s="373"/>
      <c r="D294" s="367">
        <v>1000000</v>
      </c>
    </row>
    <row r="295" spans="1:4" s="362" customFormat="1" ht="18" customHeight="1">
      <c r="A295" s="368">
        <v>201080305</v>
      </c>
      <c r="B295" s="372" t="s">
        <v>266</v>
      </c>
      <c r="C295" s="373"/>
      <c r="D295" s="367">
        <v>40000000</v>
      </c>
    </row>
    <row r="296" spans="1:4" s="362" customFormat="1" ht="18" customHeight="1">
      <c r="A296" s="368">
        <v>201080306</v>
      </c>
      <c r="B296" s="372" t="s">
        <v>169</v>
      </c>
      <c r="C296" s="373"/>
      <c r="D296" s="367">
        <v>20000000</v>
      </c>
    </row>
    <row r="297" spans="1:4" s="362" customFormat="1" ht="15.75" customHeight="1">
      <c r="A297" s="358"/>
      <c r="B297" s="370"/>
      <c r="C297" s="391"/>
      <c r="D297" s="393"/>
    </row>
    <row r="298" spans="2:4" s="362" customFormat="1" ht="15.75" customHeight="1">
      <c r="B298" s="392" t="s">
        <v>97</v>
      </c>
      <c r="C298" s="360"/>
      <c r="D298" s="371">
        <f>SUM(D291:D296)</f>
        <v>110226940</v>
      </c>
    </row>
    <row r="299" spans="2:4" s="362" customFormat="1" ht="18.75" customHeight="1">
      <c r="B299" s="392"/>
      <c r="C299" s="360"/>
      <c r="D299" s="371"/>
    </row>
    <row r="300" spans="1:4" s="362" customFormat="1" ht="17.25" customHeight="1">
      <c r="A300" s="358">
        <v>20109</v>
      </c>
      <c r="B300" s="359" t="s">
        <v>170</v>
      </c>
      <c r="C300" s="360"/>
      <c r="D300" s="361"/>
    </row>
    <row r="301" spans="1:4" s="362" customFormat="1" ht="18.75" customHeight="1">
      <c r="A301" s="363">
        <v>2010901</v>
      </c>
      <c r="B301" s="392" t="s">
        <v>89</v>
      </c>
      <c r="C301" s="360"/>
      <c r="D301" s="361"/>
    </row>
    <row r="302" spans="1:4" s="362" customFormat="1" ht="15.75" customHeight="1">
      <c r="A302" s="364">
        <v>201090101</v>
      </c>
      <c r="B302" s="372" t="s">
        <v>145</v>
      </c>
      <c r="C302" s="373"/>
      <c r="D302" s="367">
        <v>58438408</v>
      </c>
    </row>
    <row r="303" spans="1:4" s="362" customFormat="1" ht="15.75" customHeight="1">
      <c r="A303" s="364">
        <v>201090102</v>
      </c>
      <c r="B303" s="372" t="s">
        <v>91</v>
      </c>
      <c r="C303" s="373"/>
      <c r="D303" s="367">
        <v>5072779</v>
      </c>
    </row>
    <row r="304" spans="1:4" s="362" customFormat="1" ht="15.75" customHeight="1">
      <c r="A304" s="364">
        <v>201090103</v>
      </c>
      <c r="B304" s="372" t="s">
        <v>96</v>
      </c>
      <c r="C304" s="373"/>
      <c r="D304" s="367">
        <v>5495510</v>
      </c>
    </row>
    <row r="305" spans="1:4" s="362" customFormat="1" ht="15.75" customHeight="1">
      <c r="A305" s="364">
        <v>201090104</v>
      </c>
      <c r="B305" s="372" t="s">
        <v>171</v>
      </c>
      <c r="C305" s="373"/>
      <c r="D305" s="367">
        <v>659462</v>
      </c>
    </row>
    <row r="306" spans="1:4" s="362" customFormat="1" ht="15.75" customHeight="1">
      <c r="A306" s="364">
        <v>201090105</v>
      </c>
      <c r="B306" s="372" t="s">
        <v>141</v>
      </c>
      <c r="C306" s="373"/>
      <c r="D306" s="367">
        <f>2434934+688118+683363+146094+1055502</f>
        <v>5008011</v>
      </c>
    </row>
    <row r="307" spans="2:4" s="362" customFormat="1" ht="15.75" customHeight="1">
      <c r="B307" s="392" t="s">
        <v>97</v>
      </c>
      <c r="C307" s="360"/>
      <c r="D307" s="404">
        <f>SUM(D302:D306)</f>
        <v>74674170</v>
      </c>
    </row>
    <row r="308" spans="2:4" s="362" customFormat="1" ht="17.25" customHeight="1">
      <c r="B308" s="392"/>
      <c r="C308" s="360"/>
      <c r="D308" s="371"/>
    </row>
    <row r="309" spans="1:4" s="362" customFormat="1" ht="17.25" customHeight="1">
      <c r="A309" s="362">
        <v>2010902</v>
      </c>
      <c r="B309" s="392" t="s">
        <v>118</v>
      </c>
      <c r="C309" s="360"/>
      <c r="D309" s="361"/>
    </row>
    <row r="310" spans="1:4" s="362" customFormat="1" ht="19.5" customHeight="1">
      <c r="A310" s="368">
        <v>201090201</v>
      </c>
      <c r="B310" s="372" t="s">
        <v>120</v>
      </c>
      <c r="C310" s="373"/>
      <c r="D310" s="367">
        <v>500000</v>
      </c>
    </row>
    <row r="311" spans="1:4" s="362" customFormat="1" ht="18" customHeight="1">
      <c r="A311" s="368">
        <v>201090202</v>
      </c>
      <c r="B311" s="372" t="s">
        <v>122</v>
      </c>
      <c r="C311" s="373"/>
      <c r="D311" s="367">
        <v>500000</v>
      </c>
    </row>
    <row r="312" spans="1:4" s="362" customFormat="1" ht="18" customHeight="1">
      <c r="A312" s="368">
        <v>201090203</v>
      </c>
      <c r="B312" s="389" t="s">
        <v>124</v>
      </c>
      <c r="C312" s="390"/>
      <c r="D312" s="367">
        <v>500000</v>
      </c>
    </row>
    <row r="313" spans="1:4" s="362" customFormat="1" ht="17.25" customHeight="1">
      <c r="A313" s="368">
        <v>201090204</v>
      </c>
      <c r="B313" s="378" t="s">
        <v>125</v>
      </c>
      <c r="C313" s="379"/>
      <c r="D313" s="367">
        <v>1</v>
      </c>
    </row>
    <row r="314" spans="2:4" s="362" customFormat="1" ht="15" customHeight="1">
      <c r="B314" s="392" t="s">
        <v>97</v>
      </c>
      <c r="C314" s="360"/>
      <c r="D314" s="404">
        <f>SUM(D310:D313)</f>
        <v>1500001</v>
      </c>
    </row>
    <row r="315" spans="2:4" s="362" customFormat="1" ht="17.25" customHeight="1">
      <c r="B315" s="392"/>
      <c r="C315" s="360"/>
      <c r="D315" s="405"/>
    </row>
    <row r="316" spans="1:4" s="362" customFormat="1" ht="15" customHeight="1">
      <c r="A316" s="363">
        <v>2010903</v>
      </c>
      <c r="B316" s="392" t="s">
        <v>110</v>
      </c>
      <c r="C316" s="360"/>
      <c r="D316" s="361"/>
    </row>
    <row r="317" spans="1:4" s="362" customFormat="1" ht="19.5" customHeight="1">
      <c r="A317" s="364">
        <v>201090301</v>
      </c>
      <c r="B317" s="378" t="s">
        <v>111</v>
      </c>
      <c r="C317" s="379"/>
      <c r="D317" s="367">
        <v>11554443</v>
      </c>
    </row>
    <row r="318" spans="1:4" s="362" customFormat="1" ht="18.75" customHeight="1">
      <c r="A318" s="368">
        <v>201090302</v>
      </c>
      <c r="B318" s="378" t="s">
        <v>112</v>
      </c>
      <c r="C318" s="379"/>
      <c r="D318" s="367">
        <v>5799457</v>
      </c>
    </row>
    <row r="319" spans="2:4" s="362" customFormat="1" ht="15.75" customHeight="1">
      <c r="B319" s="415" t="s">
        <v>97</v>
      </c>
      <c r="C319" s="416"/>
      <c r="D319" s="417">
        <f>SUM(D317:D318)</f>
        <v>17353900</v>
      </c>
    </row>
    <row r="320" spans="2:4" s="362" customFormat="1" ht="16.5" customHeight="1">
      <c r="B320" s="415" t="s">
        <v>172</v>
      </c>
      <c r="C320" s="360"/>
      <c r="D320" s="371">
        <f>+D319+D314+D307</f>
        <v>93528071</v>
      </c>
    </row>
    <row r="321" spans="2:4" s="362" customFormat="1" ht="14.25" customHeight="1">
      <c r="B321" s="392"/>
      <c r="C321" s="360"/>
      <c r="D321" s="371"/>
    </row>
    <row r="322" spans="2:4" s="362" customFormat="1" ht="14.25" customHeight="1">
      <c r="B322" s="420" t="s">
        <v>173</v>
      </c>
      <c r="C322" s="420"/>
      <c r="D322" s="371">
        <f>SUM(D298+D287+D256+D249+D242+D235+D228+D213+D184+D320)</f>
        <v>1100672112</v>
      </c>
    </row>
    <row r="323" spans="2:4" s="362" customFormat="1" ht="15.75">
      <c r="B323" s="429"/>
      <c r="C323" s="430"/>
      <c r="D323" s="431"/>
    </row>
    <row r="324" spans="1:4" s="362" customFormat="1" ht="15.75" customHeight="1">
      <c r="A324" s="358">
        <v>202</v>
      </c>
      <c r="B324" s="432" t="s">
        <v>174</v>
      </c>
      <c r="C324" s="429"/>
      <c r="D324" s="431"/>
    </row>
    <row r="325" spans="1:4" s="362" customFormat="1" ht="15.75">
      <c r="A325" s="358"/>
      <c r="B325" s="433" t="s">
        <v>175</v>
      </c>
      <c r="C325" s="429"/>
      <c r="D325" s="431"/>
    </row>
    <row r="326" spans="1:4" s="362" customFormat="1" ht="15.75">
      <c r="A326" s="358">
        <v>20201</v>
      </c>
      <c r="B326" s="434" t="s">
        <v>176</v>
      </c>
      <c r="C326" s="429"/>
      <c r="D326" s="431"/>
    </row>
    <row r="327" spans="1:4" s="362" customFormat="1" ht="15.75">
      <c r="A327" s="358">
        <v>2020101</v>
      </c>
      <c r="B327" s="435" t="s">
        <v>177</v>
      </c>
      <c r="C327" s="436"/>
      <c r="D327" s="437">
        <f>+D334</f>
        <v>174263828</v>
      </c>
    </row>
    <row r="328" spans="1:4" s="362" customFormat="1" ht="19.5" customHeight="1">
      <c r="A328" s="363"/>
      <c r="B328" s="436"/>
      <c r="C328" s="436"/>
      <c r="D328" s="431"/>
    </row>
    <row r="329" spans="1:4" s="362" customFormat="1" ht="18" customHeight="1">
      <c r="A329" s="364">
        <v>202010101</v>
      </c>
      <c r="B329" s="438" t="s">
        <v>178</v>
      </c>
      <c r="C329" s="373"/>
      <c r="D329" s="439">
        <f>85450000+10000000</f>
        <v>95450000</v>
      </c>
    </row>
    <row r="330" spans="1:4" s="362" customFormat="1" ht="18.75" customHeight="1">
      <c r="A330" s="368">
        <v>202010102</v>
      </c>
      <c r="B330" s="440" t="s">
        <v>179</v>
      </c>
      <c r="C330" s="441"/>
      <c r="D330" s="439">
        <f>47750000+10000000-7008267</f>
        <v>50741733</v>
      </c>
    </row>
    <row r="331" spans="1:4" s="362" customFormat="1" ht="15.75">
      <c r="A331" s="368">
        <v>202010103</v>
      </c>
      <c r="B331" s="440" t="s">
        <v>327</v>
      </c>
      <c r="C331" s="441"/>
      <c r="D331" s="439">
        <f>6159000+6281095</f>
        <v>12440095</v>
      </c>
    </row>
    <row r="332" spans="1:4" s="362" customFormat="1" ht="21.75" customHeight="1">
      <c r="A332" s="368">
        <v>202010104</v>
      </c>
      <c r="B332" s="440" t="s">
        <v>328</v>
      </c>
      <c r="C332" s="441"/>
      <c r="D332" s="439">
        <f>6632000+9000000</f>
        <v>15632000</v>
      </c>
    </row>
    <row r="333" spans="2:4" s="362" customFormat="1" ht="2.25" customHeight="1">
      <c r="B333" s="442" t="s">
        <v>180</v>
      </c>
      <c r="C333" s="443"/>
      <c r="D333" s="371">
        <f>SUM(D329:D332)</f>
        <v>174263828</v>
      </c>
    </row>
    <row r="334" spans="2:4" s="362" customFormat="1" ht="18" customHeight="1">
      <c r="B334" s="442" t="s">
        <v>180</v>
      </c>
      <c r="C334" s="360"/>
      <c r="D334" s="371">
        <f>SUM(D329:D332)</f>
        <v>174263828</v>
      </c>
    </row>
    <row r="335" spans="2:4" s="362" customFormat="1" ht="18" customHeight="1">
      <c r="B335" s="442"/>
      <c r="C335" s="360"/>
      <c r="D335" s="361"/>
    </row>
    <row r="336" spans="1:4" s="362" customFormat="1" ht="14.25" customHeight="1">
      <c r="A336" s="358">
        <v>2020102</v>
      </c>
      <c r="B336" s="444" t="s">
        <v>181</v>
      </c>
      <c r="C336" s="445"/>
      <c r="D336" s="446">
        <f>+D341</f>
        <v>1128588980</v>
      </c>
    </row>
    <row r="337" spans="2:4" s="362" customFormat="1" ht="18" customHeight="1">
      <c r="B337" s="370"/>
      <c r="C337" s="360"/>
      <c r="D337" s="431"/>
    </row>
    <row r="338" spans="1:4" s="362" customFormat="1" ht="18.75" customHeight="1">
      <c r="A338" s="368">
        <v>202010201</v>
      </c>
      <c r="B338" s="365" t="s">
        <v>182</v>
      </c>
      <c r="C338" s="369"/>
      <c r="D338" s="447">
        <f>96399000+5184629</f>
        <v>101583629</v>
      </c>
    </row>
    <row r="339" spans="1:4" s="362" customFormat="1" ht="19.5" customHeight="1">
      <c r="A339" s="368">
        <v>202010202</v>
      </c>
      <c r="B339" s="365" t="s">
        <v>183</v>
      </c>
      <c r="C339" s="369"/>
      <c r="D339" s="447">
        <f>965443000+41728579</f>
        <v>1007171579</v>
      </c>
    </row>
    <row r="340" spans="1:4" s="362" customFormat="1" ht="18.75" customHeight="1">
      <c r="A340" s="368">
        <v>202010203</v>
      </c>
      <c r="B340" s="448" t="s">
        <v>184</v>
      </c>
      <c r="C340" s="449"/>
      <c r="D340" s="447">
        <f>757000+19076772</f>
        <v>19833772</v>
      </c>
    </row>
    <row r="341" spans="2:4" s="362" customFormat="1" ht="18.75" customHeight="1">
      <c r="B341" s="442" t="s">
        <v>180</v>
      </c>
      <c r="C341" s="443"/>
      <c r="D341" s="450">
        <f>D338+D339+D340</f>
        <v>1128588980</v>
      </c>
    </row>
    <row r="342" spans="2:4" s="362" customFormat="1" ht="18.75" customHeight="1">
      <c r="B342" s="391"/>
      <c r="C342" s="360"/>
      <c r="D342" s="451"/>
    </row>
    <row r="343" spans="1:4" s="362" customFormat="1" ht="15.75">
      <c r="A343" s="363">
        <v>2020103</v>
      </c>
      <c r="B343" s="427" t="s">
        <v>185</v>
      </c>
      <c r="C343" s="427"/>
      <c r="D343" s="452">
        <f>+D357</f>
        <v>365099341</v>
      </c>
    </row>
    <row r="344" spans="1:4" s="362" customFormat="1" ht="15.75">
      <c r="A344" s="364">
        <v>202010301</v>
      </c>
      <c r="B344" s="365" t="s">
        <v>186</v>
      </c>
      <c r="C344" s="369"/>
      <c r="D344" s="453">
        <v>1000</v>
      </c>
    </row>
    <row r="345" spans="1:4" s="362" customFormat="1" ht="15.75">
      <c r="A345" s="368">
        <v>202010302</v>
      </c>
      <c r="B345" s="365" t="s">
        <v>187</v>
      </c>
      <c r="C345" s="369"/>
      <c r="D345" s="453">
        <f>65200000-25200000</f>
        <v>40000000</v>
      </c>
    </row>
    <row r="346" spans="1:5" s="362" customFormat="1" ht="15.75">
      <c r="A346" s="368">
        <v>202010303</v>
      </c>
      <c r="B346" s="454" t="s">
        <v>188</v>
      </c>
      <c r="C346" s="455"/>
      <c r="D346" s="453">
        <f>141348937-46348937-26666560+4764901</f>
        <v>73098341</v>
      </c>
      <c r="E346" s="410"/>
    </row>
    <row r="347" spans="1:4" s="362" customFormat="1" ht="15.75">
      <c r="A347" s="368">
        <v>202010304</v>
      </c>
      <c r="B347" s="456" t="s">
        <v>189</v>
      </c>
      <c r="C347" s="457"/>
      <c r="D347" s="453">
        <v>40000000</v>
      </c>
    </row>
    <row r="348" spans="1:4" s="362" customFormat="1" ht="18" customHeight="1">
      <c r="A348" s="368">
        <v>202010305</v>
      </c>
      <c r="B348" s="389" t="s">
        <v>190</v>
      </c>
      <c r="C348" s="390"/>
      <c r="D348" s="453">
        <f>45000000-15000000</f>
        <v>30000000</v>
      </c>
    </row>
    <row r="349" spans="1:4" s="362" customFormat="1" ht="15.75">
      <c r="A349" s="368">
        <v>202010306</v>
      </c>
      <c r="B349" s="389" t="s">
        <v>191</v>
      </c>
      <c r="C349" s="390"/>
      <c r="D349" s="453">
        <f>12000000-2000000</f>
        <v>10000000</v>
      </c>
    </row>
    <row r="350" spans="1:4" s="362" customFormat="1" ht="15.75">
      <c r="A350" s="368">
        <v>202010307</v>
      </c>
      <c r="B350" s="456" t="s">
        <v>192</v>
      </c>
      <c r="C350" s="457"/>
      <c r="D350" s="453">
        <f>35500000-5500000</f>
        <v>30000000</v>
      </c>
    </row>
    <row r="351" spans="1:4" s="362" customFormat="1" ht="15.75">
      <c r="A351" s="368">
        <v>202010308</v>
      </c>
      <c r="B351" s="456" t="s">
        <v>276</v>
      </c>
      <c r="C351" s="457"/>
      <c r="D351" s="453">
        <f>80500000</f>
        <v>80500000</v>
      </c>
    </row>
    <row r="352" spans="1:5" s="362" customFormat="1" ht="15.75">
      <c r="A352" s="368">
        <v>202010309</v>
      </c>
      <c r="B352" s="456" t="s">
        <v>479</v>
      </c>
      <c r="C352" s="457"/>
      <c r="D352" s="453">
        <v>20000000</v>
      </c>
      <c r="E352" s="410"/>
    </row>
    <row r="353" spans="1:4" s="362" customFormat="1" ht="15.75">
      <c r="A353" s="368">
        <v>202010310</v>
      </c>
      <c r="B353" s="458" t="s">
        <v>193</v>
      </c>
      <c r="C353" s="459"/>
      <c r="D353" s="453">
        <f>15000000-3500000</f>
        <v>11500000</v>
      </c>
    </row>
    <row r="354" spans="1:4" s="362" customFormat="1" ht="15.75">
      <c r="A354" s="368">
        <v>202010312</v>
      </c>
      <c r="B354" s="456" t="s">
        <v>270</v>
      </c>
      <c r="C354" s="457"/>
      <c r="D354" s="453">
        <v>0</v>
      </c>
    </row>
    <row r="355" spans="1:4" s="362" customFormat="1" ht="15.75">
      <c r="A355" s="368">
        <v>202010313</v>
      </c>
      <c r="B355" s="460" t="s">
        <v>194</v>
      </c>
      <c r="C355" s="461"/>
      <c r="D355" s="453">
        <v>0</v>
      </c>
    </row>
    <row r="356" spans="1:4" s="362" customFormat="1" ht="15.75">
      <c r="A356" s="368">
        <v>202010314</v>
      </c>
      <c r="B356" s="462" t="s">
        <v>279</v>
      </c>
      <c r="C356" s="463"/>
      <c r="D356" s="453">
        <f>20000000+10000000</f>
        <v>30000000</v>
      </c>
    </row>
    <row r="357" spans="2:4" s="362" customFormat="1" ht="15.75">
      <c r="B357" s="442" t="s">
        <v>180</v>
      </c>
      <c r="C357" s="360"/>
      <c r="D357" s="371">
        <f>SUM(D344:D356)</f>
        <v>365099341</v>
      </c>
    </row>
    <row r="358" spans="2:4" s="362" customFormat="1" ht="15.75">
      <c r="B358" s="391"/>
      <c r="C358" s="360"/>
      <c r="D358" s="371"/>
    </row>
    <row r="359" spans="1:4" s="362" customFormat="1" ht="15.75">
      <c r="A359" s="358">
        <v>2020104</v>
      </c>
      <c r="B359" s="427" t="s">
        <v>195</v>
      </c>
      <c r="C359" s="427"/>
      <c r="D359" s="452">
        <f>D360+D368</f>
        <v>68071666</v>
      </c>
    </row>
    <row r="360" spans="1:4" s="362" customFormat="1" ht="18" customHeight="1">
      <c r="A360" s="358">
        <v>202010401</v>
      </c>
      <c r="B360" s="464" t="s">
        <v>196</v>
      </c>
      <c r="C360" s="464"/>
      <c r="D360" s="452">
        <f>+D366</f>
        <v>22071666</v>
      </c>
    </row>
    <row r="361" spans="1:4" s="362" customFormat="1" ht="18" customHeight="1">
      <c r="A361" s="368">
        <v>20201040101</v>
      </c>
      <c r="B361" s="456" t="s">
        <v>197</v>
      </c>
      <c r="C361" s="457"/>
      <c r="D361" s="453">
        <f>10000000-7000000+2000000</f>
        <v>5000000</v>
      </c>
    </row>
    <row r="362" spans="1:4" s="362" customFormat="1" ht="18" customHeight="1">
      <c r="A362" s="368">
        <v>20201040102</v>
      </c>
      <c r="B362" s="465" t="s">
        <v>198</v>
      </c>
      <c r="C362" s="461"/>
      <c r="D362" s="453">
        <f>2580000-1000000</f>
        <v>1580000</v>
      </c>
    </row>
    <row r="363" spans="1:4" s="362" customFormat="1" ht="18.75" customHeight="1">
      <c r="A363" s="368">
        <v>20201040103</v>
      </c>
      <c r="B363" s="456" t="s">
        <v>199</v>
      </c>
      <c r="C363" s="457"/>
      <c r="D363" s="453">
        <f>19397386-15000000+4000000</f>
        <v>8397386</v>
      </c>
    </row>
    <row r="364" spans="1:4" s="362" customFormat="1" ht="17.25" customHeight="1">
      <c r="A364" s="368">
        <v>20201040104</v>
      </c>
      <c r="B364" s="458" t="s">
        <v>200</v>
      </c>
      <c r="C364" s="459"/>
      <c r="D364" s="453">
        <v>1530000</v>
      </c>
    </row>
    <row r="365" spans="1:4" s="362" customFormat="1" ht="17.25" customHeight="1">
      <c r="A365" s="368">
        <v>20201040105</v>
      </c>
      <c r="B365" s="456" t="s">
        <v>201</v>
      </c>
      <c r="C365" s="457"/>
      <c r="D365" s="453">
        <f>3119282-556052+3000000+1050</f>
        <v>5564280</v>
      </c>
    </row>
    <row r="366" spans="2:4" s="362" customFormat="1" ht="17.25" customHeight="1">
      <c r="B366" s="442" t="s">
        <v>180</v>
      </c>
      <c r="C366" s="466"/>
      <c r="D366" s="371">
        <f>SUM(D361:D365)</f>
        <v>22071666</v>
      </c>
    </row>
    <row r="367" spans="2:4" s="362" customFormat="1" ht="15.75">
      <c r="B367" s="467"/>
      <c r="C367" s="467"/>
      <c r="D367" s="431"/>
    </row>
    <row r="368" spans="1:4" s="362" customFormat="1" ht="18.75" customHeight="1">
      <c r="A368" s="363">
        <v>202010402</v>
      </c>
      <c r="B368" s="468" t="s">
        <v>202</v>
      </c>
      <c r="C368" s="467"/>
      <c r="D368" s="452">
        <f>+D375</f>
        <v>46000000</v>
      </c>
    </row>
    <row r="369" spans="1:4" s="362" customFormat="1" ht="18.75" customHeight="1">
      <c r="A369" s="364">
        <v>20201040201</v>
      </c>
      <c r="B369" s="389" t="s">
        <v>203</v>
      </c>
      <c r="C369" s="390"/>
      <c r="D369" s="447">
        <v>2000000</v>
      </c>
    </row>
    <row r="370" spans="1:4" s="362" customFormat="1" ht="20.25" customHeight="1">
      <c r="A370" s="368">
        <v>20201040202</v>
      </c>
      <c r="B370" s="378" t="s">
        <v>204</v>
      </c>
      <c r="C370" s="379"/>
      <c r="D370" s="447">
        <v>2000000</v>
      </c>
    </row>
    <row r="371" spans="1:4" s="362" customFormat="1" ht="20.25" customHeight="1">
      <c r="A371" s="368">
        <v>20201040203</v>
      </c>
      <c r="B371" s="378" t="s">
        <v>205</v>
      </c>
      <c r="C371" s="379"/>
      <c r="D371" s="447">
        <v>2000000</v>
      </c>
    </row>
    <row r="372" spans="1:4" s="362" customFormat="1" ht="18.75" customHeight="1">
      <c r="A372" s="368">
        <v>20201040204</v>
      </c>
      <c r="B372" s="389" t="s">
        <v>206</v>
      </c>
      <c r="C372" s="390"/>
      <c r="D372" s="447">
        <f>2150000+20000000-2150000+10000000-3000000</f>
        <v>27000000</v>
      </c>
    </row>
    <row r="373" spans="1:4" s="362" customFormat="1" ht="21" customHeight="1">
      <c r="A373" s="368">
        <v>20201040205</v>
      </c>
      <c r="B373" s="456" t="s">
        <v>207</v>
      </c>
      <c r="C373" s="457"/>
      <c r="D373" s="447">
        <v>5000000</v>
      </c>
    </row>
    <row r="374" spans="1:4" s="362" customFormat="1" ht="15" customHeight="1">
      <c r="A374" s="368">
        <v>20201040206</v>
      </c>
      <c r="B374" s="456" t="s">
        <v>208</v>
      </c>
      <c r="C374" s="457"/>
      <c r="D374" s="426">
        <f>5000000+3000000</f>
        <v>8000000</v>
      </c>
    </row>
    <row r="375" spans="2:4" s="362" customFormat="1" ht="15" customHeight="1">
      <c r="B375" s="442" t="s">
        <v>180</v>
      </c>
      <c r="C375" s="443"/>
      <c r="D375" s="450">
        <f>SUM(D369:D374)</f>
        <v>46000000</v>
      </c>
    </row>
    <row r="376" spans="2:4" s="362" customFormat="1" ht="15" customHeight="1">
      <c r="B376" s="442"/>
      <c r="C376" s="443"/>
      <c r="D376" s="451"/>
    </row>
    <row r="377" spans="1:4" s="362" customFormat="1" ht="15" customHeight="1">
      <c r="A377" s="358">
        <v>2020105</v>
      </c>
      <c r="B377" s="445" t="s">
        <v>209</v>
      </c>
      <c r="C377" s="436"/>
      <c r="D377" s="469">
        <f>+D397+D399</f>
        <v>569111520</v>
      </c>
    </row>
    <row r="378" spans="1:4" s="362" customFormat="1" ht="16.5" customHeight="1">
      <c r="A378" s="363"/>
      <c r="B378" s="445"/>
      <c r="C378" s="445"/>
      <c r="D378" s="470"/>
    </row>
    <row r="379" spans="1:4" s="362" customFormat="1" ht="18.75" customHeight="1">
      <c r="A379" s="364">
        <v>202010501</v>
      </c>
      <c r="B379" s="458" t="s">
        <v>210</v>
      </c>
      <c r="C379" s="471"/>
      <c r="D379" s="447">
        <v>6060000</v>
      </c>
    </row>
    <row r="380" spans="1:4" s="362" customFormat="1" ht="19.5" customHeight="1">
      <c r="A380" s="368">
        <v>202010502</v>
      </c>
      <c r="B380" s="456" t="s">
        <v>211</v>
      </c>
      <c r="C380" s="472"/>
      <c r="D380" s="447">
        <f>2200000+2500000</f>
        <v>4700000</v>
      </c>
    </row>
    <row r="381" spans="1:4" s="362" customFormat="1" ht="18.75" customHeight="1">
      <c r="A381" s="368">
        <v>202010503</v>
      </c>
      <c r="B381" s="465" t="s">
        <v>212</v>
      </c>
      <c r="C381" s="473"/>
      <c r="D381" s="447">
        <v>6700000</v>
      </c>
    </row>
    <row r="382" spans="1:4" s="362" customFormat="1" ht="18.75" customHeight="1">
      <c r="A382" s="368">
        <v>202010504</v>
      </c>
      <c r="B382" s="365" t="s">
        <v>330</v>
      </c>
      <c r="C382" s="474"/>
      <c r="D382" s="447">
        <v>22170984</v>
      </c>
    </row>
    <row r="383" spans="1:4" s="362" customFormat="1" ht="18.75" customHeight="1">
      <c r="A383" s="368">
        <v>202010505</v>
      </c>
      <c r="B383" s="456" t="s">
        <v>329</v>
      </c>
      <c r="C383" s="472"/>
      <c r="D383" s="447">
        <f>8138168+4000000+5000000+5000000+6700000+5553188</f>
        <v>34391356</v>
      </c>
    </row>
    <row r="384" spans="1:4" s="362" customFormat="1" ht="15" customHeight="1">
      <c r="A384" s="368">
        <v>202010506</v>
      </c>
      <c r="B384" s="456" t="s">
        <v>213</v>
      </c>
      <c r="C384" s="472"/>
      <c r="D384" s="447">
        <f>5000000</f>
        <v>5000000</v>
      </c>
    </row>
    <row r="385" spans="1:4" s="362" customFormat="1" ht="15.75">
      <c r="A385" s="368">
        <v>202010507</v>
      </c>
      <c r="B385" s="456" t="s">
        <v>214</v>
      </c>
      <c r="C385" s="472"/>
      <c r="D385" s="447">
        <f>6500000+2000000+1000000+8599341</f>
        <v>18099341</v>
      </c>
    </row>
    <row r="386" spans="1:4" s="362" customFormat="1" ht="18.75" customHeight="1">
      <c r="A386" s="368">
        <v>202010508</v>
      </c>
      <c r="B386" s="465" t="s">
        <v>215</v>
      </c>
      <c r="C386" s="473"/>
      <c r="D386" s="447">
        <f>3000000+3000000</f>
        <v>6000000</v>
      </c>
    </row>
    <row r="387" spans="1:4" s="362" customFormat="1" ht="18" customHeight="1">
      <c r="A387" s="368">
        <v>202010509</v>
      </c>
      <c r="B387" s="456" t="s">
        <v>216</v>
      </c>
      <c r="C387" s="472"/>
      <c r="D387" s="447">
        <f>8800000+26200000-6700000</f>
        <v>28300000</v>
      </c>
    </row>
    <row r="388" spans="1:4" s="362" customFormat="1" ht="18" customHeight="1">
      <c r="A388" s="368">
        <v>202010510</v>
      </c>
      <c r="B388" s="475" t="s">
        <v>217</v>
      </c>
      <c r="C388" s="436"/>
      <c r="D388" s="447">
        <v>37643492</v>
      </c>
    </row>
    <row r="389" spans="1:4" s="362" customFormat="1" ht="18.75" customHeight="1">
      <c r="A389" s="368">
        <v>202010511</v>
      </c>
      <c r="B389" s="365" t="s">
        <v>271</v>
      </c>
      <c r="C389" s="474"/>
      <c r="D389" s="447">
        <f>6000000-2000000+3000000</f>
        <v>7000000</v>
      </c>
    </row>
    <row r="390" spans="1:4" s="362" customFormat="1" ht="18" customHeight="1">
      <c r="A390" s="368">
        <v>202010512</v>
      </c>
      <c r="B390" s="456" t="s">
        <v>218</v>
      </c>
      <c r="C390" s="472"/>
      <c r="D390" s="447">
        <v>8500000</v>
      </c>
    </row>
    <row r="391" spans="1:4" s="362" customFormat="1" ht="15.75">
      <c r="A391" s="368">
        <v>202010513</v>
      </c>
      <c r="B391" s="456" t="s">
        <v>219</v>
      </c>
      <c r="C391" s="472"/>
      <c r="D391" s="447">
        <f>90000000-558703-8599341</f>
        <v>80841956</v>
      </c>
    </row>
    <row r="392" spans="1:4" s="362" customFormat="1" ht="19.5" customHeight="1">
      <c r="A392" s="368">
        <v>202010514</v>
      </c>
      <c r="B392" s="389" t="s">
        <v>220</v>
      </c>
      <c r="C392" s="476"/>
      <c r="D392" s="447">
        <v>16000000</v>
      </c>
    </row>
    <row r="393" spans="1:4" s="362" customFormat="1" ht="18" customHeight="1">
      <c r="A393" s="368">
        <v>202010515</v>
      </c>
      <c r="B393" s="456" t="s">
        <v>221</v>
      </c>
      <c r="C393" s="472"/>
      <c r="D393" s="447">
        <v>2500000</v>
      </c>
    </row>
    <row r="394" spans="1:4" s="362" customFormat="1" ht="18" customHeight="1">
      <c r="A394" s="368">
        <v>202010516</v>
      </c>
      <c r="B394" s="440" t="s">
        <v>222</v>
      </c>
      <c r="C394" s="477"/>
      <c r="D394" s="447">
        <f>12500000-2500000</f>
        <v>10000000</v>
      </c>
    </row>
    <row r="395" spans="1:4" s="362" customFormat="1" ht="18" customHeight="1">
      <c r="A395" s="368">
        <v>202010517</v>
      </c>
      <c r="B395" s="478" t="s">
        <v>331</v>
      </c>
      <c r="C395" s="479"/>
      <c r="D395" s="447">
        <f>124000000-553168</f>
        <v>123446832</v>
      </c>
    </row>
    <row r="396" spans="1:4" s="362" customFormat="1" ht="19.5" customHeight="1">
      <c r="A396" s="368">
        <v>202010518</v>
      </c>
      <c r="B396" s="478" t="s">
        <v>223</v>
      </c>
      <c r="C396" s="479"/>
      <c r="D396" s="447">
        <v>20500000</v>
      </c>
    </row>
    <row r="397" spans="2:4" s="362" customFormat="1" ht="14.25" customHeight="1">
      <c r="B397" s="442" t="s">
        <v>224</v>
      </c>
      <c r="C397" s="443"/>
      <c r="D397" s="450">
        <f>SUM(D379:D396)</f>
        <v>437853961</v>
      </c>
    </row>
    <row r="398" spans="2:4" s="362" customFormat="1" ht="15.75">
      <c r="B398" s="442"/>
      <c r="C398" s="443"/>
      <c r="D398" s="451" t="s">
        <v>1</v>
      </c>
    </row>
    <row r="399" spans="1:4" s="362" customFormat="1" ht="20.25" customHeight="1">
      <c r="A399" s="358">
        <v>2020106</v>
      </c>
      <c r="B399" s="442" t="s">
        <v>225</v>
      </c>
      <c r="C399" s="443"/>
      <c r="D399" s="450">
        <f>+D404</f>
        <v>131257559</v>
      </c>
    </row>
    <row r="400" spans="1:4" s="362" customFormat="1" ht="17.25" customHeight="1">
      <c r="A400" s="358"/>
      <c r="B400" s="442"/>
      <c r="C400" s="443"/>
      <c r="D400" s="451"/>
    </row>
    <row r="401" spans="1:4" s="362" customFormat="1" ht="30.75" customHeight="1">
      <c r="A401" s="368">
        <v>202010601</v>
      </c>
      <c r="B401" s="480" t="s">
        <v>226</v>
      </c>
      <c r="C401" s="375"/>
      <c r="D401" s="426">
        <v>0</v>
      </c>
    </row>
    <row r="402" spans="1:4" s="362" customFormat="1" ht="32.25" customHeight="1">
      <c r="A402" s="368">
        <v>202010602</v>
      </c>
      <c r="B402" s="421" t="s">
        <v>227</v>
      </c>
      <c r="C402" s="422"/>
      <c r="D402" s="447">
        <f>90571641+5420971+2137732</f>
        <v>98130344</v>
      </c>
    </row>
    <row r="403" spans="1:4" s="362" customFormat="1" ht="15.75">
      <c r="A403" s="368">
        <v>202010603</v>
      </c>
      <c r="B403" s="421" t="s">
        <v>278</v>
      </c>
      <c r="C403" s="481"/>
      <c r="D403" s="447">
        <f>44127215-11000000</f>
        <v>33127215</v>
      </c>
    </row>
    <row r="404" spans="2:4" s="362" customFormat="1" ht="15.75">
      <c r="B404" s="442" t="s">
        <v>224</v>
      </c>
      <c r="C404" s="391"/>
      <c r="D404" s="469">
        <f>SUM(D401:D403)</f>
        <v>131257559</v>
      </c>
    </row>
    <row r="405" spans="2:4" s="362" customFormat="1" ht="15.75">
      <c r="B405" s="442" t="s">
        <v>264</v>
      </c>
      <c r="C405" s="443"/>
      <c r="D405" s="450">
        <f>+D404+D397</f>
        <v>569111520</v>
      </c>
    </row>
    <row r="406" spans="2:4" s="362" customFormat="1" ht="15.75">
      <c r="B406" s="442"/>
      <c r="C406" s="443"/>
      <c r="D406" s="451"/>
    </row>
    <row r="407" spans="1:4" s="362" customFormat="1" ht="15.75">
      <c r="A407" s="358">
        <v>2020107</v>
      </c>
      <c r="B407" s="442" t="s">
        <v>228</v>
      </c>
      <c r="C407" s="443"/>
      <c r="D407" s="450">
        <f>+D415</f>
        <v>37430362</v>
      </c>
    </row>
    <row r="408" spans="1:4" s="362" customFormat="1" ht="18" customHeight="1">
      <c r="A408" s="363"/>
      <c r="B408" s="442"/>
      <c r="C408" s="443"/>
      <c r="D408" s="451"/>
    </row>
    <row r="409" spans="1:4" s="362" customFormat="1" ht="18" customHeight="1">
      <c r="A409" s="364">
        <v>202010701</v>
      </c>
      <c r="B409" s="373" t="s">
        <v>229</v>
      </c>
      <c r="C409" s="373"/>
      <c r="D409" s="447">
        <v>1</v>
      </c>
    </row>
    <row r="410" spans="1:4" s="362" customFormat="1" ht="18" customHeight="1">
      <c r="A410" s="368">
        <v>202010702</v>
      </c>
      <c r="B410" s="373" t="s">
        <v>230</v>
      </c>
      <c r="C410" s="373"/>
      <c r="D410" s="447">
        <v>5000000</v>
      </c>
    </row>
    <row r="411" spans="1:4" s="362" customFormat="1" ht="18" customHeight="1">
      <c r="A411" s="368">
        <v>202010703</v>
      </c>
      <c r="B411" s="373" t="s">
        <v>231</v>
      </c>
      <c r="C411" s="373"/>
      <c r="D411" s="447">
        <v>2940000</v>
      </c>
    </row>
    <row r="412" spans="1:4" s="362" customFormat="1" ht="18" customHeight="1">
      <c r="A412" s="368">
        <v>202010704</v>
      </c>
      <c r="B412" s="373" t="s">
        <v>232</v>
      </c>
      <c r="C412" s="373"/>
      <c r="D412" s="447">
        <v>4319999</v>
      </c>
    </row>
    <row r="413" spans="1:4" s="362" customFormat="1" ht="18" customHeight="1">
      <c r="A413" s="368">
        <v>202010705</v>
      </c>
      <c r="B413" s="373" t="s">
        <v>233</v>
      </c>
      <c r="C413" s="373"/>
      <c r="D413" s="447">
        <f>37560000-19520638+5000000</f>
        <v>23039362</v>
      </c>
    </row>
    <row r="414" spans="1:4" s="362" customFormat="1" ht="15.75">
      <c r="A414" s="368">
        <v>202010706</v>
      </c>
      <c r="B414" s="373" t="s">
        <v>234</v>
      </c>
      <c r="C414" s="373"/>
      <c r="D414" s="447">
        <v>2131000</v>
      </c>
    </row>
    <row r="415" spans="2:4" s="362" customFormat="1" ht="15.75">
      <c r="B415" s="442" t="s">
        <v>180</v>
      </c>
      <c r="C415" s="391"/>
      <c r="D415" s="469">
        <f>SUM(D409:D414)</f>
        <v>37430362</v>
      </c>
    </row>
    <row r="416" spans="2:4" s="362" customFormat="1" ht="15.75">
      <c r="B416" s="482"/>
      <c r="C416" s="436"/>
      <c r="D416" s="470"/>
    </row>
    <row r="417" spans="1:4" s="362" customFormat="1" ht="15.75">
      <c r="A417" s="358">
        <v>2020108</v>
      </c>
      <c r="B417" s="483" t="s">
        <v>235</v>
      </c>
      <c r="C417" s="483"/>
      <c r="D417" s="484">
        <f>+D460</f>
        <v>293415786</v>
      </c>
    </row>
    <row r="418" spans="1:4" s="362" customFormat="1" ht="15.75">
      <c r="A418" s="363"/>
      <c r="B418" s="482"/>
      <c r="C418" s="436"/>
      <c r="D418" s="470"/>
    </row>
    <row r="419" spans="1:4" s="362" customFormat="1" ht="15.75">
      <c r="A419" s="368">
        <v>202010801</v>
      </c>
      <c r="B419" s="485" t="s">
        <v>236</v>
      </c>
      <c r="C419" s="486"/>
      <c r="D419" s="487">
        <v>3000000</v>
      </c>
    </row>
    <row r="420" spans="1:4" s="362" customFormat="1" ht="15.75">
      <c r="A420" s="368">
        <v>202010802</v>
      </c>
      <c r="B420" s="485" t="s">
        <v>237</v>
      </c>
      <c r="C420" s="486"/>
      <c r="D420" s="487">
        <v>2500000</v>
      </c>
    </row>
    <row r="421" spans="1:4" s="362" customFormat="1" ht="15.75">
      <c r="A421" s="368">
        <v>202010803</v>
      </c>
      <c r="B421" s="440" t="s">
        <v>275</v>
      </c>
      <c r="C421" s="441"/>
      <c r="D421" s="447">
        <v>1000</v>
      </c>
    </row>
    <row r="422" spans="1:4" s="362" customFormat="1" ht="15.75">
      <c r="A422" s="368">
        <v>202010804</v>
      </c>
      <c r="B422" s="488" t="s">
        <v>457</v>
      </c>
      <c r="C422" s="489"/>
      <c r="D422" s="487">
        <v>0</v>
      </c>
    </row>
    <row r="423" spans="1:4" s="362" customFormat="1" ht="15.75">
      <c r="A423" s="368">
        <v>202010805</v>
      </c>
      <c r="B423" s="440" t="s">
        <v>238</v>
      </c>
      <c r="C423" s="477"/>
      <c r="D423" s="447">
        <v>15948544</v>
      </c>
    </row>
    <row r="424" spans="1:4" s="362" customFormat="1" ht="15.75">
      <c r="A424" s="368">
        <v>202010806</v>
      </c>
      <c r="B424" s="488" t="s">
        <v>239</v>
      </c>
      <c r="C424" s="489"/>
      <c r="D424" s="487">
        <v>12500000</v>
      </c>
    </row>
    <row r="425" spans="1:4" s="362" customFormat="1" ht="15.75">
      <c r="A425" s="368">
        <v>202010807</v>
      </c>
      <c r="B425" s="485" t="s">
        <v>240</v>
      </c>
      <c r="C425" s="486"/>
      <c r="D425" s="487">
        <f>12214088+8000000</f>
        <v>20214088</v>
      </c>
    </row>
    <row r="426" spans="1:4" s="362" customFormat="1" ht="15.75">
      <c r="A426" s="368">
        <v>202010808</v>
      </c>
      <c r="B426" s="490" t="s">
        <v>272</v>
      </c>
      <c r="C426" s="438"/>
      <c r="D426" s="426">
        <v>22000000</v>
      </c>
    </row>
    <row r="427" spans="1:4" s="362" customFormat="1" ht="15.75">
      <c r="A427" s="368">
        <v>202010809</v>
      </c>
      <c r="B427" s="485" t="s">
        <v>241</v>
      </c>
      <c r="C427" s="486"/>
      <c r="D427" s="487">
        <v>4000000</v>
      </c>
    </row>
    <row r="428" spans="1:4" s="362" customFormat="1" ht="15.75">
      <c r="A428" s="368">
        <v>202010810</v>
      </c>
      <c r="B428" s="488" t="s">
        <v>242</v>
      </c>
      <c r="C428" s="489"/>
      <c r="D428" s="487">
        <v>19000000</v>
      </c>
    </row>
    <row r="429" spans="1:4" s="362" customFormat="1" ht="15.75">
      <c r="A429" s="368">
        <v>202010811</v>
      </c>
      <c r="B429" s="485" t="s">
        <v>243</v>
      </c>
      <c r="C429" s="486"/>
      <c r="D429" s="487">
        <f>13200000+12000000</f>
        <v>25200000</v>
      </c>
    </row>
    <row r="430" spans="1:4" s="362" customFormat="1" ht="15.75">
      <c r="A430" s="368">
        <v>202010812</v>
      </c>
      <c r="B430" s="485" t="s">
        <v>244</v>
      </c>
      <c r="C430" s="486"/>
      <c r="D430" s="487">
        <v>3500000</v>
      </c>
    </row>
    <row r="431" spans="1:4" s="362" customFormat="1" ht="15.75">
      <c r="A431" s="368">
        <v>202010813</v>
      </c>
      <c r="B431" s="491" t="s">
        <v>245</v>
      </c>
      <c r="C431" s="492"/>
      <c r="D431" s="487">
        <v>23565000</v>
      </c>
    </row>
    <row r="432" spans="1:4" s="362" customFormat="1" ht="15.75">
      <c r="A432" s="368">
        <v>202010814</v>
      </c>
      <c r="B432" s="485" t="s">
        <v>246</v>
      </c>
      <c r="C432" s="486"/>
      <c r="D432" s="487">
        <f>12187500+3461777</f>
        <v>15649277</v>
      </c>
    </row>
    <row r="433" spans="1:4" s="362" customFormat="1" ht="15.75">
      <c r="A433" s="368">
        <v>202010815</v>
      </c>
      <c r="B433" s="485" t="s">
        <v>247</v>
      </c>
      <c r="C433" s="486"/>
      <c r="D433" s="487">
        <f>3000000-500000</f>
        <v>2500000</v>
      </c>
    </row>
    <row r="434" spans="1:4" s="362" customFormat="1" ht="15.75">
      <c r="A434" s="368">
        <v>202010816</v>
      </c>
      <c r="B434" s="485" t="s">
        <v>248</v>
      </c>
      <c r="C434" s="486"/>
      <c r="D434" s="487">
        <v>1900000</v>
      </c>
    </row>
    <row r="435" spans="1:4" s="362" customFormat="1" ht="15.75">
      <c r="A435" s="368">
        <v>202010817</v>
      </c>
      <c r="B435" s="485" t="s">
        <v>249</v>
      </c>
      <c r="C435" s="486"/>
      <c r="D435" s="487">
        <v>5000000</v>
      </c>
    </row>
    <row r="436" spans="1:4" s="362" customFormat="1" ht="15.75">
      <c r="A436" s="368">
        <v>202010818</v>
      </c>
      <c r="B436" s="485" t="s">
        <v>250</v>
      </c>
      <c r="C436" s="486"/>
      <c r="D436" s="487">
        <f>2000000+500000</f>
        <v>2500000</v>
      </c>
    </row>
    <row r="437" spans="1:4" s="362" customFormat="1" ht="15.75">
      <c r="A437" s="368">
        <v>202010819</v>
      </c>
      <c r="B437" s="485" t="s">
        <v>251</v>
      </c>
      <c r="C437" s="486"/>
      <c r="D437" s="487">
        <v>1000</v>
      </c>
    </row>
    <row r="438" spans="1:4" s="362" customFormat="1" ht="15.75">
      <c r="A438" s="368">
        <v>202010820</v>
      </c>
      <c r="B438" s="365" t="s">
        <v>252</v>
      </c>
      <c r="C438" s="474"/>
      <c r="D438" s="493">
        <v>2000000</v>
      </c>
    </row>
    <row r="439" spans="1:4" s="362" customFormat="1" ht="15.75">
      <c r="A439" s="368">
        <v>202010821</v>
      </c>
      <c r="B439" s="365" t="s">
        <v>253</v>
      </c>
      <c r="C439" s="474"/>
      <c r="D439" s="426">
        <f>2000000+2276981</f>
        <v>4276981</v>
      </c>
    </row>
    <row r="440" spans="1:4" s="362" customFormat="1" ht="15.75">
      <c r="A440" s="368">
        <v>202010822</v>
      </c>
      <c r="B440" s="490" t="s">
        <v>254</v>
      </c>
      <c r="C440" s="438"/>
      <c r="D440" s="426">
        <v>4000000</v>
      </c>
    </row>
    <row r="441" spans="1:4" s="362" customFormat="1" ht="15.75">
      <c r="A441" s="368">
        <v>202010823</v>
      </c>
      <c r="B441" s="440" t="s">
        <v>277</v>
      </c>
      <c r="C441" s="441"/>
      <c r="D441" s="426">
        <v>6000000</v>
      </c>
    </row>
    <row r="442" spans="1:4" s="362" customFormat="1" ht="15.75">
      <c r="A442" s="368">
        <v>202010824</v>
      </c>
      <c r="B442" s="365" t="s">
        <v>255</v>
      </c>
      <c r="C442" s="494"/>
      <c r="D442" s="426">
        <v>100000</v>
      </c>
    </row>
    <row r="443" spans="1:4" s="362" customFormat="1" ht="15.75">
      <c r="A443" s="368">
        <v>202010825</v>
      </c>
      <c r="B443" s="490" t="s">
        <v>256</v>
      </c>
      <c r="C443" s="438"/>
      <c r="D443" s="426">
        <v>1000</v>
      </c>
    </row>
    <row r="444" spans="1:4" s="362" customFormat="1" ht="15.75">
      <c r="A444" s="368">
        <v>202010826</v>
      </c>
      <c r="B444" s="365" t="s">
        <v>257</v>
      </c>
      <c r="C444" s="494"/>
      <c r="D444" s="426">
        <v>1000</v>
      </c>
    </row>
    <row r="445" spans="1:4" s="362" customFormat="1" ht="15.75">
      <c r="A445" s="368">
        <v>202010827</v>
      </c>
      <c r="B445" s="490" t="s">
        <v>258</v>
      </c>
      <c r="C445" s="438"/>
      <c r="D445" s="426">
        <v>1000</v>
      </c>
    </row>
    <row r="446" spans="1:4" s="362" customFormat="1" ht="15.75">
      <c r="A446" s="368">
        <v>202010828</v>
      </c>
      <c r="B446" s="490" t="s">
        <v>261</v>
      </c>
      <c r="C446" s="438"/>
      <c r="D446" s="426">
        <f>6068478+1173975</f>
        <v>7242453</v>
      </c>
    </row>
    <row r="447" spans="1:4" s="362" customFormat="1" ht="15.75">
      <c r="A447" s="368">
        <v>202010829</v>
      </c>
      <c r="B447" s="365" t="s">
        <v>262</v>
      </c>
      <c r="C447" s="494"/>
      <c r="D447" s="426">
        <v>0</v>
      </c>
    </row>
    <row r="448" spans="1:4" s="362" customFormat="1" ht="15.75">
      <c r="A448" s="368">
        <v>202010830</v>
      </c>
      <c r="B448" s="490" t="s">
        <v>263</v>
      </c>
      <c r="C448" s="495"/>
      <c r="D448" s="426">
        <v>8000000</v>
      </c>
    </row>
    <row r="449" spans="1:4" s="362" customFormat="1" ht="15.75">
      <c r="A449" s="368">
        <v>202010831</v>
      </c>
      <c r="B449" s="456" t="s">
        <v>219</v>
      </c>
      <c r="C449" s="472"/>
      <c r="D449" s="426">
        <f>27771484+2042959</f>
        <v>29814443</v>
      </c>
    </row>
    <row r="450" spans="1:4" s="362" customFormat="1" ht="15.75">
      <c r="A450" s="368">
        <v>202010832</v>
      </c>
      <c r="B450" s="456" t="s">
        <v>265</v>
      </c>
      <c r="C450" s="457"/>
      <c r="D450" s="426">
        <v>7000000</v>
      </c>
    </row>
    <row r="451" spans="1:4" s="362" customFormat="1" ht="15.75">
      <c r="A451" s="368">
        <v>202010833</v>
      </c>
      <c r="B451" s="465" t="s">
        <v>267</v>
      </c>
      <c r="C451" s="461"/>
      <c r="D451" s="426">
        <v>5000000</v>
      </c>
    </row>
    <row r="452" spans="1:4" s="362" customFormat="1" ht="15.75">
      <c r="A452" s="368">
        <v>202010834</v>
      </c>
      <c r="B452" s="465" t="s">
        <v>458</v>
      </c>
      <c r="C452" s="461"/>
      <c r="D452" s="426">
        <v>0</v>
      </c>
    </row>
    <row r="453" spans="1:4" s="362" customFormat="1" ht="15.75">
      <c r="A453" s="368">
        <v>202010835</v>
      </c>
      <c r="B453" s="374" t="s">
        <v>470</v>
      </c>
      <c r="C453" s="375"/>
      <c r="D453" s="426">
        <v>1000000</v>
      </c>
    </row>
    <row r="454" spans="1:4" s="362" customFormat="1" ht="15.75">
      <c r="A454" s="368">
        <v>202010836</v>
      </c>
      <c r="B454" s="465" t="s">
        <v>274</v>
      </c>
      <c r="C454" s="461"/>
      <c r="D454" s="426">
        <v>2000000</v>
      </c>
    </row>
    <row r="455" spans="1:4" s="362" customFormat="1" ht="15.75">
      <c r="A455" s="368">
        <v>202010837</v>
      </c>
      <c r="B455" s="465" t="s">
        <v>468</v>
      </c>
      <c r="C455" s="461"/>
      <c r="D455" s="426">
        <v>5000000</v>
      </c>
    </row>
    <row r="456" spans="1:4" s="362" customFormat="1" ht="15.75">
      <c r="A456" s="368">
        <v>202010838</v>
      </c>
      <c r="B456" s="465" t="s">
        <v>469</v>
      </c>
      <c r="C456" s="461"/>
      <c r="D456" s="426">
        <v>8000000</v>
      </c>
    </row>
    <row r="457" spans="1:4" s="362" customFormat="1" ht="15.75">
      <c r="A457" s="368">
        <v>202010839</v>
      </c>
      <c r="B457" s="465" t="s">
        <v>472</v>
      </c>
      <c r="C457" s="461"/>
      <c r="D457" s="426">
        <v>8000000</v>
      </c>
    </row>
    <row r="458" spans="1:4" s="362" customFormat="1" ht="15.75">
      <c r="A458" s="368">
        <v>202010840</v>
      </c>
      <c r="B458" s="465" t="s">
        <v>480</v>
      </c>
      <c r="C458" s="461"/>
      <c r="D458" s="426">
        <v>15000000</v>
      </c>
    </row>
    <row r="459" spans="1:4" s="362" customFormat="1" ht="15.75">
      <c r="A459" s="368">
        <v>202010841</v>
      </c>
      <c r="B459" s="465" t="s">
        <v>218</v>
      </c>
      <c r="C459" s="461"/>
      <c r="D459" s="426">
        <v>2000000</v>
      </c>
    </row>
    <row r="460" spans="2:4" s="362" customFormat="1" ht="15.75">
      <c r="B460" s="392" t="s">
        <v>97</v>
      </c>
      <c r="C460" s="360"/>
      <c r="D460" s="450">
        <f>SUM(D419:D459)</f>
        <v>293415786</v>
      </c>
    </row>
    <row r="461" spans="2:4" s="362" customFormat="1" ht="15.75">
      <c r="B461" s="398" t="s">
        <v>259</v>
      </c>
      <c r="C461" s="360"/>
      <c r="D461" s="361"/>
    </row>
    <row r="462" spans="2:4" s="362" customFormat="1" ht="15.75">
      <c r="B462" s="370"/>
      <c r="C462" s="360"/>
      <c r="D462" s="361"/>
    </row>
    <row r="463" spans="2:4" s="362" customFormat="1" ht="18.75" customHeight="1">
      <c r="B463" s="392" t="s">
        <v>173</v>
      </c>
      <c r="C463" s="360"/>
      <c r="D463" s="371">
        <f>+D322</f>
        <v>1100672112</v>
      </c>
    </row>
    <row r="464" spans="2:4" s="362" customFormat="1" ht="15.75">
      <c r="B464" s="420" t="s">
        <v>260</v>
      </c>
      <c r="C464" s="420"/>
      <c r="D464" s="371">
        <f>D460</f>
        <v>293415786</v>
      </c>
    </row>
    <row r="465" spans="2:4" s="362" customFormat="1" ht="16.5" thickBot="1">
      <c r="B465" s="392" t="s">
        <v>332</v>
      </c>
      <c r="C465" s="360"/>
      <c r="D465" s="496">
        <f>D327+D336+D343+D359+D377+D407</f>
        <v>2342565697</v>
      </c>
    </row>
    <row r="466" spans="2:4" s="362" customFormat="1" ht="15.75">
      <c r="B466" s="497" t="s">
        <v>333</v>
      </c>
      <c r="D466" s="371">
        <f>SUM(D463:D465)</f>
        <v>3736653595</v>
      </c>
    </row>
    <row r="467" spans="1:4" s="362" customFormat="1" ht="15.75">
      <c r="A467" s="498"/>
      <c r="B467" s="498"/>
      <c r="C467" s="498"/>
      <c r="D467" s="499">
        <f>+D145-D466</f>
        <v>0</v>
      </c>
    </row>
    <row r="468" spans="1:9" s="362" customFormat="1" ht="18.75" customHeight="1">
      <c r="A468" s="500"/>
      <c r="B468" s="338"/>
      <c r="C468" s="338"/>
      <c r="D468" s="501"/>
      <c r="E468" s="500"/>
      <c r="F468" s="500"/>
      <c r="G468" s="500"/>
      <c r="H468" s="500"/>
      <c r="I468" s="500"/>
    </row>
    <row r="469" ht="16.5">
      <c r="B469" s="502"/>
    </row>
    <row r="470" s="336" customFormat="1" ht="18">
      <c r="D470" s="341"/>
    </row>
    <row r="471" spans="1:3" ht="16.5">
      <c r="A471" s="504"/>
      <c r="B471" s="504"/>
      <c r="C471" s="504"/>
    </row>
    <row r="472" spans="1:256" ht="20.25">
      <c r="A472" s="505" t="s">
        <v>488</v>
      </c>
      <c r="B472" s="506"/>
      <c r="C472" s="506"/>
      <c r="D472" s="341"/>
      <c r="F472" s="336"/>
      <c r="G472" s="336"/>
      <c r="H472" s="341"/>
      <c r="I472" s="336"/>
      <c r="J472" s="336"/>
      <c r="K472" s="336"/>
      <c r="L472" s="341"/>
      <c r="M472" s="336"/>
      <c r="N472" s="336"/>
      <c r="O472" s="336"/>
      <c r="P472" s="341"/>
      <c r="Q472" s="336"/>
      <c r="R472" s="336"/>
      <c r="S472" s="336"/>
      <c r="T472" s="341"/>
      <c r="U472" s="336"/>
      <c r="V472" s="336"/>
      <c r="W472" s="336"/>
      <c r="X472" s="341"/>
      <c r="Y472" s="336"/>
      <c r="Z472" s="336"/>
      <c r="AA472" s="336"/>
      <c r="AB472" s="341"/>
      <c r="AC472" s="336"/>
      <c r="AD472" s="336"/>
      <c r="AE472" s="336"/>
      <c r="AF472" s="341"/>
      <c r="AG472" s="336"/>
      <c r="AH472" s="336"/>
      <c r="AI472" s="336"/>
      <c r="AJ472" s="341"/>
      <c r="AK472" s="336"/>
      <c r="AL472" s="336"/>
      <c r="AM472" s="336"/>
      <c r="AN472" s="341"/>
      <c r="AO472" s="336"/>
      <c r="AP472" s="336"/>
      <c r="AQ472" s="336"/>
      <c r="AR472" s="341"/>
      <c r="AS472" s="336"/>
      <c r="AT472" s="336"/>
      <c r="AU472" s="336"/>
      <c r="AV472" s="341"/>
      <c r="AW472" s="336"/>
      <c r="AX472" s="336"/>
      <c r="AY472" s="336"/>
      <c r="AZ472" s="341"/>
      <c r="BA472" s="336"/>
      <c r="BB472" s="336"/>
      <c r="BC472" s="336"/>
      <c r="BD472" s="341"/>
      <c r="BE472" s="336"/>
      <c r="BF472" s="336"/>
      <c r="BG472" s="336"/>
      <c r="BH472" s="341"/>
      <c r="BI472" s="336"/>
      <c r="BJ472" s="336"/>
      <c r="BK472" s="336"/>
      <c r="BL472" s="341"/>
      <c r="BM472" s="336"/>
      <c r="BN472" s="336"/>
      <c r="BO472" s="336"/>
      <c r="BP472" s="341"/>
      <c r="BQ472" s="336"/>
      <c r="BR472" s="336"/>
      <c r="BS472" s="336"/>
      <c r="BT472" s="341"/>
      <c r="BU472" s="336"/>
      <c r="BV472" s="336"/>
      <c r="BW472" s="336"/>
      <c r="BX472" s="341"/>
      <c r="BY472" s="336"/>
      <c r="BZ472" s="336"/>
      <c r="CA472" s="336"/>
      <c r="CB472" s="341"/>
      <c r="CC472" s="336"/>
      <c r="CD472" s="336"/>
      <c r="CE472" s="336"/>
      <c r="CF472" s="341"/>
      <c r="CG472" s="336"/>
      <c r="CH472" s="336"/>
      <c r="CI472" s="336"/>
      <c r="CJ472" s="341"/>
      <c r="CK472" s="336"/>
      <c r="CL472" s="336"/>
      <c r="CM472" s="336"/>
      <c r="CN472" s="341"/>
      <c r="CO472" s="336"/>
      <c r="CP472" s="336"/>
      <c r="CQ472" s="336"/>
      <c r="CR472" s="341"/>
      <c r="CS472" s="336"/>
      <c r="CT472" s="336"/>
      <c r="CU472" s="336"/>
      <c r="CV472" s="341"/>
      <c r="CW472" s="336"/>
      <c r="CX472" s="336"/>
      <c r="CY472" s="336"/>
      <c r="CZ472" s="341"/>
      <c r="DA472" s="336"/>
      <c r="DB472" s="336"/>
      <c r="DC472" s="336"/>
      <c r="DD472" s="341"/>
      <c r="DE472" s="336"/>
      <c r="DF472" s="336"/>
      <c r="DG472" s="336"/>
      <c r="DH472" s="341"/>
      <c r="DI472" s="336"/>
      <c r="DJ472" s="336"/>
      <c r="DK472" s="336"/>
      <c r="DL472" s="341"/>
      <c r="DM472" s="336"/>
      <c r="DN472" s="336"/>
      <c r="DO472" s="336"/>
      <c r="DP472" s="341"/>
      <c r="DQ472" s="336"/>
      <c r="DR472" s="336"/>
      <c r="DS472" s="336"/>
      <c r="DT472" s="341"/>
      <c r="DU472" s="336"/>
      <c r="DV472" s="336"/>
      <c r="DW472" s="336"/>
      <c r="DX472" s="341"/>
      <c r="DY472" s="336"/>
      <c r="DZ472" s="336"/>
      <c r="EA472" s="336"/>
      <c r="EB472" s="341"/>
      <c r="EC472" s="336"/>
      <c r="ED472" s="336"/>
      <c r="EE472" s="336"/>
      <c r="EF472" s="341"/>
      <c r="EG472" s="336"/>
      <c r="EH472" s="336"/>
      <c r="EI472" s="336"/>
      <c r="EJ472" s="341"/>
      <c r="EK472" s="336"/>
      <c r="EL472" s="336"/>
      <c r="EM472" s="336"/>
      <c r="EN472" s="341"/>
      <c r="EO472" s="336"/>
      <c r="EP472" s="336"/>
      <c r="EQ472" s="336"/>
      <c r="ER472" s="341"/>
      <c r="ES472" s="336"/>
      <c r="ET472" s="336"/>
      <c r="EU472" s="336"/>
      <c r="EV472" s="341"/>
      <c r="EW472" s="336"/>
      <c r="EX472" s="336"/>
      <c r="EY472" s="336"/>
      <c r="EZ472" s="341"/>
      <c r="FA472" s="336"/>
      <c r="FB472" s="336"/>
      <c r="FC472" s="336"/>
      <c r="FD472" s="341"/>
      <c r="FE472" s="336"/>
      <c r="FF472" s="336"/>
      <c r="FG472" s="336"/>
      <c r="FH472" s="341"/>
      <c r="FI472" s="336"/>
      <c r="FJ472" s="336"/>
      <c r="FK472" s="336"/>
      <c r="FL472" s="341"/>
      <c r="FM472" s="336"/>
      <c r="FN472" s="336"/>
      <c r="FO472" s="336"/>
      <c r="FP472" s="341"/>
      <c r="FQ472" s="336"/>
      <c r="FR472" s="336"/>
      <c r="FS472" s="336"/>
      <c r="FT472" s="341"/>
      <c r="FU472" s="336"/>
      <c r="FV472" s="336"/>
      <c r="FW472" s="336"/>
      <c r="FX472" s="341"/>
      <c r="FY472" s="336"/>
      <c r="FZ472" s="336"/>
      <c r="GA472" s="336"/>
      <c r="GB472" s="341"/>
      <c r="GC472" s="336"/>
      <c r="GD472" s="336"/>
      <c r="GE472" s="336"/>
      <c r="GF472" s="341"/>
      <c r="GG472" s="336"/>
      <c r="GH472" s="336"/>
      <c r="GI472" s="336"/>
      <c r="GJ472" s="341"/>
      <c r="GK472" s="336"/>
      <c r="GL472" s="336"/>
      <c r="GM472" s="336"/>
      <c r="GN472" s="341"/>
      <c r="GO472" s="336"/>
      <c r="GP472" s="336"/>
      <c r="GQ472" s="336"/>
      <c r="GR472" s="341"/>
      <c r="GS472" s="336"/>
      <c r="GT472" s="336"/>
      <c r="GU472" s="336"/>
      <c r="GV472" s="341"/>
      <c r="GW472" s="336"/>
      <c r="GX472" s="336"/>
      <c r="GY472" s="336"/>
      <c r="GZ472" s="341"/>
      <c r="HA472" s="336"/>
      <c r="HB472" s="336"/>
      <c r="HC472" s="336"/>
      <c r="HD472" s="341"/>
      <c r="HE472" s="336"/>
      <c r="HF472" s="336"/>
      <c r="HG472" s="336"/>
      <c r="HH472" s="341"/>
      <c r="HI472" s="336"/>
      <c r="HJ472" s="336"/>
      <c r="HK472" s="336"/>
      <c r="HL472" s="341"/>
      <c r="HM472" s="336"/>
      <c r="HN472" s="336"/>
      <c r="HO472" s="336"/>
      <c r="HP472" s="341"/>
      <c r="HQ472" s="336"/>
      <c r="HR472" s="336"/>
      <c r="HS472" s="336"/>
      <c r="HT472" s="341"/>
      <c r="HU472" s="336"/>
      <c r="HV472" s="336"/>
      <c r="HW472" s="336"/>
      <c r="HX472" s="341"/>
      <c r="HY472" s="336"/>
      <c r="HZ472" s="336"/>
      <c r="IA472" s="336"/>
      <c r="IB472" s="341"/>
      <c r="IC472" s="336"/>
      <c r="ID472" s="336"/>
      <c r="IE472" s="336"/>
      <c r="IF472" s="341"/>
      <c r="IG472" s="336"/>
      <c r="IH472" s="336"/>
      <c r="II472" s="336"/>
      <c r="IJ472" s="341"/>
      <c r="IK472" s="336"/>
      <c r="IL472" s="336"/>
      <c r="IM472" s="336"/>
      <c r="IN472" s="341"/>
      <c r="IO472" s="336"/>
      <c r="IP472" s="336"/>
      <c r="IQ472" s="336"/>
      <c r="IR472" s="341"/>
      <c r="IS472" s="336"/>
      <c r="IT472" s="336"/>
      <c r="IU472" s="336"/>
      <c r="IV472" s="341"/>
    </row>
    <row r="473" spans="1:4" ht="20.25">
      <c r="A473" s="505" t="s">
        <v>487</v>
      </c>
      <c r="B473" s="505"/>
      <c r="C473" s="505"/>
      <c r="D473" s="341"/>
    </row>
    <row r="474" spans="1:3" ht="20.25">
      <c r="A474" s="507"/>
      <c r="B474" s="507"/>
      <c r="C474" s="507"/>
    </row>
    <row r="476" ht="16.5">
      <c r="A476" s="338" t="s">
        <v>482</v>
      </c>
    </row>
    <row r="477" spans="2:3" ht="16.5">
      <c r="B477" s="502"/>
      <c r="C477" s="502"/>
    </row>
    <row r="478" spans="2:4" s="336" customFormat="1" ht="18.75">
      <c r="B478" s="502"/>
      <c r="C478" s="502"/>
      <c r="D478" s="341"/>
    </row>
    <row r="480" spans="2:3" ht="18.75">
      <c r="B480" s="336"/>
      <c r="C480" s="336"/>
    </row>
    <row r="481" spans="2:3" ht="18.75">
      <c r="B481" s="508"/>
      <c r="C481" s="508"/>
    </row>
    <row r="482" spans="2:3" ht="20.25">
      <c r="B482" s="509" t="s">
        <v>494</v>
      </c>
      <c r="C482" s="509"/>
    </row>
    <row r="483" spans="2:3" ht="18.75">
      <c r="B483" s="336"/>
      <c r="C483" s="336"/>
    </row>
    <row r="485" spans="2:3" ht="18.75">
      <c r="B485" s="336"/>
      <c r="C485" s="336"/>
    </row>
    <row r="490" spans="2:3" ht="18.75">
      <c r="B490" s="336"/>
      <c r="C490" s="336"/>
    </row>
    <row r="491" spans="2:3" ht="18.75">
      <c r="B491" s="508" t="s">
        <v>486</v>
      </c>
      <c r="C491" s="508" t="s">
        <v>484</v>
      </c>
    </row>
    <row r="492" spans="2:3" ht="18.75">
      <c r="B492" s="336" t="s">
        <v>483</v>
      </c>
      <c r="C492" s="336" t="s">
        <v>485</v>
      </c>
    </row>
    <row r="493" spans="2:3" ht="18.75">
      <c r="B493" s="336"/>
      <c r="C493" s="336"/>
    </row>
  </sheetData>
  <sheetProtection/>
  <mergeCells count="125">
    <mergeCell ref="B442:C442"/>
    <mergeCell ref="B444:C444"/>
    <mergeCell ref="B431:C431"/>
    <mergeCell ref="B438:C438"/>
    <mergeCell ref="B439:C439"/>
    <mergeCell ref="B441:C441"/>
    <mergeCell ref="B447:C447"/>
    <mergeCell ref="B449:C449"/>
    <mergeCell ref="B450:C450"/>
    <mergeCell ref="B464:C464"/>
    <mergeCell ref="B422:C422"/>
    <mergeCell ref="B423:C423"/>
    <mergeCell ref="B424:C424"/>
    <mergeCell ref="B428:C428"/>
    <mergeCell ref="B402:C402"/>
    <mergeCell ref="B403:C403"/>
    <mergeCell ref="B417:C417"/>
    <mergeCell ref="B421:C421"/>
    <mergeCell ref="B391:C391"/>
    <mergeCell ref="B392:C392"/>
    <mergeCell ref="B393:C393"/>
    <mergeCell ref="B394:C394"/>
    <mergeCell ref="B385:C385"/>
    <mergeCell ref="B387:C387"/>
    <mergeCell ref="B389:C389"/>
    <mergeCell ref="B390:C390"/>
    <mergeCell ref="B380:C380"/>
    <mergeCell ref="B382:C382"/>
    <mergeCell ref="B383:C383"/>
    <mergeCell ref="B384:C384"/>
    <mergeCell ref="B372:C372"/>
    <mergeCell ref="B373:C373"/>
    <mergeCell ref="B374:C374"/>
    <mergeCell ref="B379:C379"/>
    <mergeCell ref="B365:C365"/>
    <mergeCell ref="B369:C369"/>
    <mergeCell ref="B370:C370"/>
    <mergeCell ref="B371:C371"/>
    <mergeCell ref="B359:C359"/>
    <mergeCell ref="B361:C361"/>
    <mergeCell ref="B363:C363"/>
    <mergeCell ref="B364:C364"/>
    <mergeCell ref="B352:C352"/>
    <mergeCell ref="B353:C353"/>
    <mergeCell ref="B354:C354"/>
    <mergeCell ref="B356:C356"/>
    <mergeCell ref="B348:C348"/>
    <mergeCell ref="B349:C349"/>
    <mergeCell ref="B350:C350"/>
    <mergeCell ref="B351:C351"/>
    <mergeCell ref="B344:C344"/>
    <mergeCell ref="B345:C345"/>
    <mergeCell ref="B346:C346"/>
    <mergeCell ref="B347:C347"/>
    <mergeCell ref="B332:C332"/>
    <mergeCell ref="B338:C338"/>
    <mergeCell ref="B339:C339"/>
    <mergeCell ref="B343:C343"/>
    <mergeCell ref="B318:C318"/>
    <mergeCell ref="B322:C322"/>
    <mergeCell ref="B330:C330"/>
    <mergeCell ref="B331:C331"/>
    <mergeCell ref="B292:C292"/>
    <mergeCell ref="B312:C312"/>
    <mergeCell ref="B313:C313"/>
    <mergeCell ref="B317:C317"/>
    <mergeCell ref="B282:C282"/>
    <mergeCell ref="B283:C283"/>
    <mergeCell ref="B287:C287"/>
    <mergeCell ref="B289:C290"/>
    <mergeCell ref="B256:C256"/>
    <mergeCell ref="B274:C274"/>
    <mergeCell ref="B276:C276"/>
    <mergeCell ref="B281:C281"/>
    <mergeCell ref="B244:C244"/>
    <mergeCell ref="B249:C249"/>
    <mergeCell ref="B251:C251"/>
    <mergeCell ref="B253:C253"/>
    <mergeCell ref="B225:C225"/>
    <mergeCell ref="B230:C230"/>
    <mergeCell ref="B237:C237"/>
    <mergeCell ref="B242:C242"/>
    <mergeCell ref="B211:C211"/>
    <mergeCell ref="B215:C215"/>
    <mergeCell ref="B223:C223"/>
    <mergeCell ref="B224:C224"/>
    <mergeCell ref="B202:C202"/>
    <mergeCell ref="B203:C203"/>
    <mergeCell ref="B204:C204"/>
    <mergeCell ref="B210:C210"/>
    <mergeCell ref="B173:C173"/>
    <mergeCell ref="B181:C181"/>
    <mergeCell ref="B182:C182"/>
    <mergeCell ref="B201:C201"/>
    <mergeCell ref="B136:C136"/>
    <mergeCell ref="B145:C145"/>
    <mergeCell ref="A147:D154"/>
    <mergeCell ref="B168:C168"/>
    <mergeCell ref="B101:C101"/>
    <mergeCell ref="B103:C103"/>
    <mergeCell ref="B104:C104"/>
    <mergeCell ref="B123:C123"/>
    <mergeCell ref="B81:C81"/>
    <mergeCell ref="B96:C96"/>
    <mergeCell ref="B97:C97"/>
    <mergeCell ref="B98:C98"/>
    <mergeCell ref="B58:C58"/>
    <mergeCell ref="B64:C64"/>
    <mergeCell ref="B65:C65"/>
    <mergeCell ref="B78:C78"/>
    <mergeCell ref="B41:C41"/>
    <mergeCell ref="B44:C44"/>
    <mergeCell ref="B46:C46"/>
    <mergeCell ref="B56:C56"/>
    <mergeCell ref="A24:D31"/>
    <mergeCell ref="B35:C35"/>
    <mergeCell ref="B36:C36"/>
    <mergeCell ref="B37:C37"/>
    <mergeCell ref="A22:D22"/>
    <mergeCell ref="B1:D1"/>
    <mergeCell ref="A13:D13"/>
    <mergeCell ref="A15:D15"/>
    <mergeCell ref="A17:D17"/>
    <mergeCell ref="A19:D19"/>
    <mergeCell ref="A21:B21"/>
  </mergeCells>
  <printOptions horizontalCentered="1"/>
  <pageMargins left="0.4724409448818898" right="0.5511811023622047" top="1.5748031496062993" bottom="0.984251968503937" header="0" footer="0"/>
  <pageSetup horizontalDpi="300" verticalDpi="300" orientation="portrait" paperSize="9" scale="70" r:id="rId2"/>
  <headerFooter alignWithMargins="0">
    <oddHeader>&amp;CPágina &amp;P de 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80"/>
  <sheetViews>
    <sheetView showGridLines="0" zoomScalePageLayoutView="0" workbookViewId="0" topLeftCell="A113">
      <selection activeCell="E113" sqref="E113"/>
    </sheetView>
  </sheetViews>
  <sheetFormatPr defaultColWidth="11.421875" defaultRowHeight="12.75"/>
  <cols>
    <col min="1" max="1" width="15.421875" style="1" customWidth="1"/>
    <col min="2" max="2" width="45.7109375" style="1" customWidth="1"/>
    <col min="3" max="3" width="44.8515625" style="1" customWidth="1"/>
    <col min="4" max="4" width="24.28125" style="2" customWidth="1"/>
    <col min="5" max="5" width="29.421875" style="135" customWidth="1"/>
    <col min="6" max="6" width="22.57421875" style="1" bestFit="1" customWidth="1"/>
    <col min="7" max="16384" width="11.421875" style="1" customWidth="1"/>
  </cols>
  <sheetData>
    <row r="1" spans="1:4" ht="14.25" customHeight="1">
      <c r="A1" s="5"/>
      <c r="B1" s="298"/>
      <c r="C1" s="298"/>
      <c r="D1" s="298"/>
    </row>
    <row r="2" spans="1:4" ht="18">
      <c r="A2" s="5"/>
      <c r="B2" s="6"/>
      <c r="C2" s="7" t="s">
        <v>280</v>
      </c>
      <c r="D2" s="8"/>
    </row>
    <row r="3" spans="1:4" ht="15.75" customHeight="1">
      <c r="A3" s="5"/>
      <c r="B3" s="5"/>
      <c r="C3" s="9"/>
      <c r="D3" s="8"/>
    </row>
    <row r="4" spans="1:4" ht="15.75" customHeight="1">
      <c r="A4" s="5"/>
      <c r="B4" s="5"/>
      <c r="C4" s="9"/>
      <c r="D4" s="8"/>
    </row>
    <row r="5" spans="1:4" ht="15.75" customHeight="1">
      <c r="A5" s="5"/>
      <c r="B5" s="5"/>
      <c r="C5" s="9"/>
      <c r="D5" s="8"/>
    </row>
    <row r="6" spans="1:4" ht="55.5" customHeight="1">
      <c r="A6" s="5"/>
      <c r="B6" s="5" t="s">
        <v>0</v>
      </c>
      <c r="C6" s="5"/>
      <c r="D6" s="8"/>
    </row>
    <row r="7" spans="1:4" ht="18" customHeight="1">
      <c r="A7" s="5"/>
      <c r="B7" s="10"/>
      <c r="C7" s="11"/>
      <c r="D7" s="12"/>
    </row>
    <row r="8" spans="1:4" ht="18">
      <c r="A8" s="5"/>
      <c r="B8" s="10"/>
      <c r="C8" s="11"/>
      <c r="D8" s="12"/>
    </row>
    <row r="9" spans="1:4" ht="18">
      <c r="A9" s="5"/>
      <c r="B9" s="10"/>
      <c r="C9" s="11"/>
      <c r="D9" s="12"/>
    </row>
    <row r="10" spans="1:4" ht="18">
      <c r="A10" s="5"/>
      <c r="B10" s="10"/>
      <c r="C10" s="11"/>
      <c r="D10" s="12"/>
    </row>
    <row r="11" spans="1:4" ht="22.5" customHeight="1">
      <c r="A11" s="5"/>
      <c r="B11" s="10"/>
      <c r="C11" s="11"/>
      <c r="D11" s="12"/>
    </row>
    <row r="12" spans="1:4" ht="21" customHeight="1">
      <c r="A12" s="5"/>
      <c r="B12" s="13"/>
      <c r="C12" s="14"/>
      <c r="D12" s="15" t="s">
        <v>1</v>
      </c>
    </row>
    <row r="13" spans="1:4" ht="30.75" customHeight="1">
      <c r="A13" s="299" t="s">
        <v>455</v>
      </c>
      <c r="B13" s="299"/>
      <c r="C13" s="299"/>
      <c r="D13" s="299"/>
    </row>
    <row r="14" spans="1:4" ht="21" customHeight="1">
      <c r="A14" s="5"/>
      <c r="B14" s="13"/>
      <c r="C14" s="14"/>
      <c r="D14" s="15"/>
    </row>
    <row r="15" spans="1:4" ht="42" customHeight="1">
      <c r="A15" s="300" t="s">
        <v>475</v>
      </c>
      <c r="B15" s="300"/>
      <c r="C15" s="300"/>
      <c r="D15" s="300"/>
    </row>
    <row r="16" spans="1:4" ht="15.75" customHeight="1">
      <c r="A16" s="5"/>
      <c r="B16" s="13"/>
      <c r="C16" s="14"/>
      <c r="D16" s="15"/>
    </row>
    <row r="17" spans="1:4" ht="14.25">
      <c r="A17" s="301" t="s">
        <v>476</v>
      </c>
      <c r="B17" s="301"/>
      <c r="C17" s="301"/>
      <c r="D17" s="301"/>
    </row>
    <row r="18" spans="1:4" ht="22.5" customHeight="1">
      <c r="A18" s="5"/>
      <c r="B18" s="13"/>
      <c r="C18" s="14"/>
      <c r="D18" s="15"/>
    </row>
    <row r="19" spans="1:4" ht="21" customHeight="1">
      <c r="A19" s="302" t="s">
        <v>477</v>
      </c>
      <c r="B19" s="302"/>
      <c r="C19" s="302"/>
      <c r="D19" s="302"/>
    </row>
    <row r="20" spans="1:4" ht="20.25" customHeight="1">
      <c r="A20" s="5"/>
      <c r="B20" s="16"/>
      <c r="C20" s="16"/>
      <c r="D20" s="17"/>
    </row>
    <row r="21" spans="1:4" ht="33.75" customHeight="1">
      <c r="A21" s="303" t="s">
        <v>2</v>
      </c>
      <c r="B21" s="303"/>
      <c r="C21" s="16"/>
      <c r="D21" s="17"/>
    </row>
    <row r="22" spans="1:4" ht="18">
      <c r="A22" s="5"/>
      <c r="B22" s="16" t="s">
        <v>3</v>
      </c>
      <c r="C22" s="16"/>
      <c r="D22" s="17"/>
    </row>
    <row r="23" spans="1:4" ht="18">
      <c r="A23" s="5"/>
      <c r="B23" s="16"/>
      <c r="C23" s="16"/>
      <c r="D23" s="17"/>
    </row>
    <row r="24" spans="1:4" ht="14.25">
      <c r="A24" s="304" t="s">
        <v>478</v>
      </c>
      <c r="B24" s="304"/>
      <c r="C24" s="304"/>
      <c r="D24" s="304"/>
    </row>
    <row r="25" spans="1:5" ht="15">
      <c r="A25" s="304"/>
      <c r="B25" s="304"/>
      <c r="C25" s="304"/>
      <c r="D25" s="304"/>
      <c r="E25" s="136"/>
    </row>
    <row r="26" spans="1:4" ht="14.25">
      <c r="A26" s="304"/>
      <c r="B26" s="304"/>
      <c r="C26" s="304"/>
      <c r="D26" s="304"/>
    </row>
    <row r="27" spans="1:4" ht="14.25">
      <c r="A27" s="304"/>
      <c r="B27" s="304"/>
      <c r="C27" s="304"/>
      <c r="D27" s="304"/>
    </row>
    <row r="28" spans="1:5" ht="14.25">
      <c r="A28" s="304"/>
      <c r="B28" s="304"/>
      <c r="C28" s="304"/>
      <c r="D28" s="304"/>
      <c r="E28" s="135">
        <f>+D145</f>
        <v>3736653595</v>
      </c>
    </row>
    <row r="29" spans="1:4" ht="6.75" customHeight="1">
      <c r="A29" s="304"/>
      <c r="B29" s="304"/>
      <c r="C29" s="304"/>
      <c r="D29" s="304"/>
    </row>
    <row r="30" spans="1:5" ht="15" customHeight="1">
      <c r="A30" s="304"/>
      <c r="B30" s="304"/>
      <c r="C30" s="304"/>
      <c r="D30" s="304"/>
      <c r="E30" s="135">
        <f>+E28-238193557</f>
        <v>3498460038</v>
      </c>
    </row>
    <row r="31" spans="1:4" ht="29.25" customHeight="1">
      <c r="A31" s="304"/>
      <c r="B31" s="304"/>
      <c r="C31" s="304"/>
      <c r="D31" s="304"/>
    </row>
    <row r="32" spans="1:5" s="23" customFormat="1" ht="15">
      <c r="A32" s="19">
        <v>101</v>
      </c>
      <c r="B32" s="20" t="s">
        <v>4</v>
      </c>
      <c r="C32" s="21"/>
      <c r="D32" s="22"/>
      <c r="E32" s="134"/>
    </row>
    <row r="33" spans="1:5" s="23" customFormat="1" ht="15.75">
      <c r="A33" s="19">
        <v>10101</v>
      </c>
      <c r="B33" s="20" t="s">
        <v>5</v>
      </c>
      <c r="C33" s="21"/>
      <c r="D33" s="22"/>
      <c r="E33" s="137"/>
    </row>
    <row r="34" spans="1:5" s="23" customFormat="1" ht="15">
      <c r="A34" s="24">
        <v>1010101</v>
      </c>
      <c r="B34" s="20" t="s">
        <v>6</v>
      </c>
      <c r="C34" s="21"/>
      <c r="D34" s="22"/>
      <c r="E34" s="138"/>
    </row>
    <row r="35" spans="1:5" s="23" customFormat="1" ht="15">
      <c r="A35" s="26">
        <v>101010101</v>
      </c>
      <c r="B35" s="305" t="s">
        <v>7</v>
      </c>
      <c r="C35" s="306"/>
      <c r="D35" s="28">
        <v>300417500</v>
      </c>
      <c r="E35" s="134"/>
    </row>
    <row r="36" spans="1:5" s="23" customFormat="1" ht="15">
      <c r="A36" s="30">
        <v>101010103</v>
      </c>
      <c r="B36" s="305" t="s">
        <v>8</v>
      </c>
      <c r="C36" s="307"/>
      <c r="D36" s="28">
        <v>9495000</v>
      </c>
      <c r="E36" s="134"/>
    </row>
    <row r="37" spans="1:5" s="23" customFormat="1" ht="15">
      <c r="A37" s="30">
        <v>101010104</v>
      </c>
      <c r="B37" s="305" t="s">
        <v>9</v>
      </c>
      <c r="C37" s="306"/>
      <c r="D37" s="28">
        <v>70178000</v>
      </c>
      <c r="E37" s="134"/>
    </row>
    <row r="38" spans="2:5" s="23" customFormat="1" ht="15.75">
      <c r="B38" s="32"/>
      <c r="C38" s="21"/>
      <c r="D38" s="33">
        <f>SUM(D35:D37)</f>
        <v>380090500</v>
      </c>
      <c r="E38" s="134"/>
    </row>
    <row r="39" spans="2:5" s="23" customFormat="1" ht="15">
      <c r="B39" s="32"/>
      <c r="C39" s="21"/>
      <c r="D39" s="22"/>
      <c r="E39" s="134"/>
    </row>
    <row r="40" spans="1:6" s="23" customFormat="1" ht="23.25" customHeight="1">
      <c r="A40" s="24">
        <v>1010102</v>
      </c>
      <c r="B40" s="20" t="s">
        <v>10</v>
      </c>
      <c r="C40" s="21"/>
      <c r="D40" s="22"/>
      <c r="E40" s="134"/>
      <c r="F40" s="34"/>
    </row>
    <row r="41" spans="1:6" s="23" customFormat="1" ht="15.75" customHeight="1">
      <c r="A41" s="26">
        <v>101010201</v>
      </c>
      <c r="B41" s="305" t="s">
        <v>11</v>
      </c>
      <c r="C41" s="306"/>
      <c r="D41" s="28">
        <v>42041050</v>
      </c>
      <c r="E41" s="134"/>
      <c r="F41" s="34"/>
    </row>
    <row r="42" spans="1:6" s="23" customFormat="1" ht="15.75" customHeight="1">
      <c r="A42" s="26">
        <v>101010202</v>
      </c>
      <c r="B42" s="35" t="s">
        <v>12</v>
      </c>
      <c r="C42" s="36"/>
      <c r="D42" s="28">
        <v>6306157</v>
      </c>
      <c r="E42" s="134"/>
      <c r="F42" s="37"/>
    </row>
    <row r="43" spans="1:5" s="23" customFormat="1" ht="15.75" customHeight="1">
      <c r="A43" s="26">
        <v>101010203</v>
      </c>
      <c r="B43" s="35" t="s">
        <v>13</v>
      </c>
      <c r="C43" s="36"/>
      <c r="D43" s="28">
        <v>60000</v>
      </c>
      <c r="E43" s="134"/>
    </row>
    <row r="44" spans="1:5" s="23" customFormat="1" ht="15.75" customHeight="1">
      <c r="A44" s="26">
        <v>101010204</v>
      </c>
      <c r="B44" s="305" t="s">
        <v>14</v>
      </c>
      <c r="C44" s="306"/>
      <c r="D44" s="28">
        <v>21100</v>
      </c>
      <c r="E44" s="134"/>
    </row>
    <row r="45" spans="1:5" s="23" customFormat="1" ht="15.75" customHeight="1">
      <c r="A45" s="26">
        <v>101010205</v>
      </c>
      <c r="B45" s="35" t="s">
        <v>15</v>
      </c>
      <c r="C45" s="36"/>
      <c r="D45" s="28">
        <v>184625</v>
      </c>
      <c r="E45" s="134"/>
    </row>
    <row r="46" spans="1:5" s="23" customFormat="1" ht="15">
      <c r="A46" s="26">
        <v>101010206</v>
      </c>
      <c r="B46" s="305" t="s">
        <v>16</v>
      </c>
      <c r="C46" s="306"/>
      <c r="D46" s="28">
        <v>995000</v>
      </c>
      <c r="E46" s="134"/>
    </row>
    <row r="47" spans="1:5" s="23" customFormat="1" ht="15.75" customHeight="1">
      <c r="A47" s="26">
        <v>101010207</v>
      </c>
      <c r="B47" s="35" t="s">
        <v>17</v>
      </c>
      <c r="C47" s="36"/>
      <c r="D47" s="28">
        <v>116050</v>
      </c>
      <c r="E47" s="134"/>
    </row>
    <row r="48" spans="1:5" s="23" customFormat="1" ht="15.75" customHeight="1">
      <c r="A48" s="26">
        <v>101010208</v>
      </c>
      <c r="B48" s="38" t="s">
        <v>18</v>
      </c>
      <c r="C48" s="39"/>
      <c r="D48" s="28">
        <v>1477000</v>
      </c>
      <c r="E48" s="134"/>
    </row>
    <row r="49" spans="1:5" s="23" customFormat="1" ht="15.75" customHeight="1">
      <c r="A49" s="26">
        <v>101010209</v>
      </c>
      <c r="B49" s="38" t="s">
        <v>19</v>
      </c>
      <c r="C49" s="39"/>
      <c r="D49" s="28">
        <v>80182110</v>
      </c>
      <c r="E49" s="134"/>
    </row>
    <row r="50" spans="1:5" s="23" customFormat="1" ht="15.75" customHeight="1">
      <c r="A50" s="26">
        <v>101010210</v>
      </c>
      <c r="B50" s="38" t="s">
        <v>268</v>
      </c>
      <c r="C50" s="39"/>
      <c r="D50" s="28">
        <v>11255844</v>
      </c>
      <c r="E50" s="134"/>
    </row>
    <row r="51" spans="1:5" s="23" customFormat="1" ht="15.75" customHeight="1">
      <c r="A51" s="26">
        <v>101010211</v>
      </c>
      <c r="B51" s="38" t="s">
        <v>20</v>
      </c>
      <c r="C51" s="39"/>
      <c r="D51" s="28">
        <v>12187500</v>
      </c>
      <c r="E51" s="134"/>
    </row>
    <row r="52" spans="1:5" s="23" customFormat="1" ht="15.75" customHeight="1">
      <c r="A52" s="26">
        <v>101010212</v>
      </c>
      <c r="B52" s="38" t="s">
        <v>21</v>
      </c>
      <c r="C52" s="39"/>
      <c r="D52" s="28">
        <v>17334565</v>
      </c>
      <c r="E52" s="134"/>
    </row>
    <row r="53" spans="1:5" s="23" customFormat="1" ht="15.75" customHeight="1">
      <c r="A53" s="26">
        <v>101010213</v>
      </c>
      <c r="B53" s="35" t="s">
        <v>22</v>
      </c>
      <c r="C53" s="36"/>
      <c r="D53" s="28">
        <v>12321000</v>
      </c>
      <c r="E53" s="134"/>
    </row>
    <row r="54" spans="2:5" s="23" customFormat="1" ht="21" customHeight="1">
      <c r="B54" s="32"/>
      <c r="C54" s="21"/>
      <c r="D54" s="33">
        <f>SUM(D41:D53)</f>
        <v>184482001</v>
      </c>
      <c r="E54" s="134"/>
    </row>
    <row r="55" spans="2:5" s="23" customFormat="1" ht="4.5" customHeight="1">
      <c r="B55" s="32"/>
      <c r="C55" s="21"/>
      <c r="D55" s="22"/>
      <c r="E55" s="134"/>
    </row>
    <row r="56" spans="1:5" s="23" customFormat="1" ht="21" customHeight="1">
      <c r="A56" s="19">
        <v>10102</v>
      </c>
      <c r="B56" s="281" t="s">
        <v>23</v>
      </c>
      <c r="C56" s="282"/>
      <c r="D56" s="22"/>
      <c r="E56" s="134"/>
    </row>
    <row r="57" spans="1:5" s="23" customFormat="1" ht="17.25" customHeight="1">
      <c r="A57" s="24">
        <v>1010201</v>
      </c>
      <c r="B57" s="20" t="s">
        <v>24</v>
      </c>
      <c r="C57" s="21"/>
      <c r="D57" s="22"/>
      <c r="E57" s="134"/>
    </row>
    <row r="58" spans="1:5" s="23" customFormat="1" ht="17.25" customHeight="1">
      <c r="A58" s="26">
        <v>101020101</v>
      </c>
      <c r="B58" s="283" t="s">
        <v>25</v>
      </c>
      <c r="C58" s="284"/>
      <c r="D58" s="28">
        <v>20341455</v>
      </c>
      <c r="E58" s="134"/>
    </row>
    <row r="59" spans="1:5" s="23" customFormat="1" ht="17.25" customHeight="1">
      <c r="A59" s="30">
        <v>101020102</v>
      </c>
      <c r="B59" s="35" t="s">
        <v>26</v>
      </c>
      <c r="C59" s="36"/>
      <c r="D59" s="28">
        <v>575000</v>
      </c>
      <c r="E59" s="134"/>
    </row>
    <row r="60" spans="1:5" s="23" customFormat="1" ht="17.25" customHeight="1">
      <c r="A60" s="30">
        <v>101020103</v>
      </c>
      <c r="B60" s="38" t="s">
        <v>27</v>
      </c>
      <c r="C60" s="39"/>
      <c r="D60" s="28">
        <v>5510900</v>
      </c>
      <c r="E60" s="134"/>
    </row>
    <row r="61" spans="1:5" s="23" customFormat="1" ht="17.25" customHeight="1">
      <c r="A61" s="30">
        <v>101020104</v>
      </c>
      <c r="B61" s="38" t="s">
        <v>28</v>
      </c>
      <c r="C61" s="39"/>
      <c r="D61" s="28">
        <v>3350000</v>
      </c>
      <c r="E61" s="134"/>
    </row>
    <row r="62" spans="1:5" s="23" customFormat="1" ht="17.25" customHeight="1">
      <c r="A62" s="30">
        <v>101020105</v>
      </c>
      <c r="B62" s="35" t="s">
        <v>29</v>
      </c>
      <c r="C62" s="36"/>
      <c r="D62" s="28">
        <v>13904900</v>
      </c>
      <c r="E62" s="134"/>
    </row>
    <row r="63" spans="1:5" s="23" customFormat="1" ht="17.25" customHeight="1">
      <c r="A63" s="30">
        <v>101020106</v>
      </c>
      <c r="B63" s="35" t="s">
        <v>30</v>
      </c>
      <c r="C63" s="36"/>
      <c r="D63" s="28">
        <v>2106300</v>
      </c>
      <c r="E63" s="134"/>
    </row>
    <row r="64" spans="1:5" s="23" customFormat="1" ht="17.25" customHeight="1">
      <c r="A64" s="30">
        <v>101020107</v>
      </c>
      <c r="B64" s="305" t="s">
        <v>31</v>
      </c>
      <c r="C64" s="306"/>
      <c r="D64" s="28">
        <v>12950000</v>
      </c>
      <c r="E64" s="134"/>
    </row>
    <row r="65" spans="1:5" s="23" customFormat="1" ht="17.25" customHeight="1">
      <c r="A65" s="30">
        <v>101020108</v>
      </c>
      <c r="B65" s="283" t="s">
        <v>32</v>
      </c>
      <c r="C65" s="284"/>
      <c r="D65" s="28">
        <v>1000</v>
      </c>
      <c r="E65" s="134"/>
    </row>
    <row r="66" spans="1:5" s="23" customFormat="1" ht="17.25" customHeight="1">
      <c r="A66" s="30">
        <v>101020109</v>
      </c>
      <c r="B66" s="35" t="s">
        <v>33</v>
      </c>
      <c r="C66" s="36"/>
      <c r="D66" s="28">
        <v>160387</v>
      </c>
      <c r="E66" s="134"/>
    </row>
    <row r="67" spans="1:5" s="23" customFormat="1" ht="17.25" customHeight="1">
      <c r="A67" s="30">
        <v>101020110</v>
      </c>
      <c r="B67" s="38" t="s">
        <v>34</v>
      </c>
      <c r="C67" s="39"/>
      <c r="D67" s="28">
        <v>35966005</v>
      </c>
      <c r="E67" s="134"/>
    </row>
    <row r="68" spans="1:5" s="23" customFormat="1" ht="17.25" customHeight="1">
      <c r="A68" s="30">
        <v>101020111</v>
      </c>
      <c r="B68" s="35" t="s">
        <v>35</v>
      </c>
      <c r="C68" s="36"/>
      <c r="D68" s="28">
        <v>10012210</v>
      </c>
      <c r="E68" s="134"/>
    </row>
    <row r="69" spans="1:5" s="23" customFormat="1" ht="21" customHeight="1">
      <c r="A69" s="30">
        <v>101020112</v>
      </c>
      <c r="B69" s="35" t="s">
        <v>36</v>
      </c>
      <c r="C69" s="36"/>
      <c r="D69" s="28">
        <v>3112250</v>
      </c>
      <c r="E69" s="134"/>
    </row>
    <row r="70" spans="2:5" s="23" customFormat="1" ht="18" customHeight="1">
      <c r="B70" s="32"/>
      <c r="C70" s="21"/>
      <c r="D70" s="33">
        <f>SUM(D58:D69)</f>
        <v>107990407</v>
      </c>
      <c r="E70" s="134"/>
    </row>
    <row r="71" spans="2:5" s="23" customFormat="1" ht="3" customHeight="1">
      <c r="B71" s="32"/>
      <c r="C71" s="21"/>
      <c r="D71" s="22"/>
      <c r="E71" s="134"/>
    </row>
    <row r="72" spans="1:5" s="23" customFormat="1" ht="15">
      <c r="A72" s="24">
        <v>1010202</v>
      </c>
      <c r="B72" s="20" t="s">
        <v>37</v>
      </c>
      <c r="C72" s="21"/>
      <c r="D72" s="22"/>
      <c r="E72" s="134"/>
    </row>
    <row r="73" spans="1:5" s="23" customFormat="1" ht="17.25" customHeight="1">
      <c r="A73" s="26">
        <v>101020201</v>
      </c>
      <c r="B73" s="35" t="s">
        <v>38</v>
      </c>
      <c r="C73" s="36"/>
      <c r="D73" s="28">
        <v>255000</v>
      </c>
      <c r="E73" s="134"/>
    </row>
    <row r="74" spans="1:5" s="23" customFormat="1" ht="17.25" customHeight="1">
      <c r="A74" s="30">
        <v>101020202</v>
      </c>
      <c r="B74" s="35" t="s">
        <v>39</v>
      </c>
      <c r="C74" s="36"/>
      <c r="D74" s="28">
        <v>2000000</v>
      </c>
      <c r="E74" s="134"/>
    </row>
    <row r="75" spans="1:5" s="23" customFormat="1" ht="17.25" customHeight="1">
      <c r="A75" s="30">
        <v>101020203</v>
      </c>
      <c r="B75" s="35" t="s">
        <v>40</v>
      </c>
      <c r="C75" s="36"/>
      <c r="D75" s="28">
        <v>15590325</v>
      </c>
      <c r="E75" s="134"/>
    </row>
    <row r="76" spans="2:5" s="23" customFormat="1" ht="15.75">
      <c r="B76" s="32"/>
      <c r="C76" s="21"/>
      <c r="D76" s="33">
        <f>SUM(D73:D75)</f>
        <v>17845325</v>
      </c>
      <c r="E76" s="134"/>
    </row>
    <row r="77" spans="2:5" s="23" customFormat="1" ht="7.5" customHeight="1">
      <c r="B77" s="32"/>
      <c r="C77" s="21"/>
      <c r="D77" s="22"/>
      <c r="E77" s="134"/>
    </row>
    <row r="78" spans="1:5" s="23" customFormat="1" ht="24" customHeight="1">
      <c r="A78" s="24">
        <v>1010203</v>
      </c>
      <c r="B78" s="285" t="s">
        <v>41</v>
      </c>
      <c r="C78" s="285"/>
      <c r="D78" s="22"/>
      <c r="E78" s="134"/>
    </row>
    <row r="79" spans="1:5" s="23" customFormat="1" ht="18.75" customHeight="1">
      <c r="A79" s="26">
        <v>101020301</v>
      </c>
      <c r="B79" s="35" t="s">
        <v>42</v>
      </c>
      <c r="C79" s="36"/>
      <c r="D79" s="28">
        <v>5500000</v>
      </c>
      <c r="E79" s="134"/>
    </row>
    <row r="80" spans="1:5" s="23" customFormat="1" ht="18.75" customHeight="1">
      <c r="A80" s="30">
        <v>101020302</v>
      </c>
      <c r="B80" s="35" t="s">
        <v>43</v>
      </c>
      <c r="C80" s="36"/>
      <c r="D80" s="28">
        <v>19277345</v>
      </c>
      <c r="E80" s="134"/>
    </row>
    <row r="81" spans="1:5" s="23" customFormat="1" ht="18.75" customHeight="1">
      <c r="A81" s="30">
        <v>101020303</v>
      </c>
      <c r="B81" s="283" t="s">
        <v>44</v>
      </c>
      <c r="C81" s="284"/>
      <c r="D81" s="28">
        <v>250000</v>
      </c>
      <c r="E81" s="134"/>
    </row>
    <row r="82" spans="2:5" s="23" customFormat="1" ht="18.75" customHeight="1">
      <c r="B82" s="32"/>
      <c r="C82" s="21"/>
      <c r="D82" s="33">
        <f>SUM(D79:D81)</f>
        <v>25027345</v>
      </c>
      <c r="E82" s="134"/>
    </row>
    <row r="83" spans="2:5" s="23" customFormat="1" ht="20.25" customHeight="1">
      <c r="B83" s="32"/>
      <c r="C83" s="21"/>
      <c r="D83" s="22"/>
      <c r="E83" s="134"/>
    </row>
    <row r="84" spans="1:5" s="23" customFormat="1" ht="20.25" customHeight="1">
      <c r="A84" s="24">
        <v>1010204</v>
      </c>
      <c r="B84" s="20" t="s">
        <v>453</v>
      </c>
      <c r="C84" s="21"/>
      <c r="D84" s="22"/>
      <c r="E84" s="134"/>
    </row>
    <row r="85" spans="1:6" s="23" customFormat="1" ht="18" customHeight="1">
      <c r="A85" s="26">
        <v>101020401</v>
      </c>
      <c r="B85" s="35" t="s">
        <v>334</v>
      </c>
      <c r="C85" s="42" t="s">
        <v>1</v>
      </c>
      <c r="D85" s="28">
        <f>+'Anexo No.1'!C80</f>
        <v>611682612</v>
      </c>
      <c r="E85" s="134"/>
      <c r="F85" s="29"/>
    </row>
    <row r="86" spans="1:6" s="23" customFormat="1" ht="15.75" customHeight="1">
      <c r="A86" s="30">
        <v>101020402</v>
      </c>
      <c r="B86" s="35" t="s">
        <v>335</v>
      </c>
      <c r="C86" s="42" t="s">
        <v>1</v>
      </c>
      <c r="D86" s="28">
        <f>+'Anexo No.1'!C44</f>
        <v>492394240</v>
      </c>
      <c r="E86" s="277"/>
      <c r="F86" s="29"/>
    </row>
    <row r="87" spans="1:5" s="23" customFormat="1" ht="15.75" customHeight="1">
      <c r="A87" s="26">
        <v>101020403</v>
      </c>
      <c r="B87" s="35" t="s">
        <v>45</v>
      </c>
      <c r="C87" s="42" t="s">
        <v>1</v>
      </c>
      <c r="D87" s="28">
        <f>+'Anexo No.1'!C6</f>
        <v>174263828</v>
      </c>
      <c r="E87" s="277"/>
    </row>
    <row r="88" spans="1:5" s="23" customFormat="1" ht="15.75" customHeight="1">
      <c r="A88" s="30">
        <v>101020404</v>
      </c>
      <c r="B88" s="38" t="s">
        <v>46</v>
      </c>
      <c r="C88" s="43"/>
      <c r="D88" s="28">
        <f>+'Anexo No.1'!C15</f>
        <v>101583629</v>
      </c>
      <c r="E88" s="134"/>
    </row>
    <row r="89" spans="1:5" s="23" customFormat="1" ht="15.75" customHeight="1">
      <c r="A89" s="26">
        <v>101020405</v>
      </c>
      <c r="B89" s="38" t="s">
        <v>47</v>
      </c>
      <c r="C89" s="43"/>
      <c r="D89" s="45">
        <f>+'Anexo No.1'!C20</f>
        <v>1007171579</v>
      </c>
      <c r="E89" s="134"/>
    </row>
    <row r="90" spans="1:5" s="23" customFormat="1" ht="15.75" customHeight="1">
      <c r="A90" s="30">
        <v>101020406</v>
      </c>
      <c r="B90" s="38" t="s">
        <v>48</v>
      </c>
      <c r="C90" s="43"/>
      <c r="D90" s="45">
        <f>+'Anexo No.1'!C25</f>
        <v>19833772</v>
      </c>
      <c r="E90" s="134"/>
    </row>
    <row r="91" spans="1:6" s="23" customFormat="1" ht="15.75" customHeight="1">
      <c r="A91" s="26">
        <v>101020407</v>
      </c>
      <c r="B91" s="38" t="s">
        <v>49</v>
      </c>
      <c r="C91" s="43" t="s">
        <v>1</v>
      </c>
      <c r="D91" s="45">
        <f>+'Anexo No.1'!C35</f>
        <v>32430382</v>
      </c>
      <c r="E91" s="134"/>
      <c r="F91" s="29"/>
    </row>
    <row r="92" spans="1:6" s="23" customFormat="1" ht="15.75" customHeight="1">
      <c r="A92" s="30">
        <v>101020408</v>
      </c>
      <c r="B92" s="46" t="s">
        <v>336</v>
      </c>
      <c r="C92" s="147"/>
      <c r="D92" s="45">
        <v>365099341</v>
      </c>
      <c r="E92" s="134"/>
      <c r="F92" s="29"/>
    </row>
    <row r="93" spans="1:6" s="23" customFormat="1" ht="15.75" customHeight="1">
      <c r="A93" s="26">
        <v>101020409</v>
      </c>
      <c r="B93" s="46" t="s">
        <v>337</v>
      </c>
      <c r="C93" s="147"/>
      <c r="D93" s="45">
        <v>17428888</v>
      </c>
      <c r="E93" s="134"/>
      <c r="F93" s="29"/>
    </row>
    <row r="94" spans="1:6" s="23" customFormat="1" ht="15.75" customHeight="1">
      <c r="A94" s="30">
        <v>101020410</v>
      </c>
      <c r="B94" s="46" t="s">
        <v>338</v>
      </c>
      <c r="C94" s="147"/>
      <c r="D94" s="45">
        <f>+'Anexo No.1'!C71</f>
        <v>13071666</v>
      </c>
      <c r="E94" s="134"/>
      <c r="F94" s="29"/>
    </row>
    <row r="95" spans="1:5" s="23" customFormat="1" ht="15.75" customHeight="1">
      <c r="A95" s="26">
        <v>101020411</v>
      </c>
      <c r="B95" s="46" t="s">
        <v>50</v>
      </c>
      <c r="C95" s="47"/>
      <c r="D95" s="45">
        <v>1</v>
      </c>
      <c r="E95" s="134"/>
    </row>
    <row r="96" spans="1:5" s="23" customFormat="1" ht="15.75" customHeight="1">
      <c r="A96" s="30">
        <v>101020412</v>
      </c>
      <c r="B96" s="286" t="s">
        <v>51</v>
      </c>
      <c r="C96" s="286"/>
      <c r="D96" s="28">
        <v>1</v>
      </c>
      <c r="E96" s="134"/>
    </row>
    <row r="97" spans="1:5" s="23" customFormat="1" ht="15.75" customHeight="1">
      <c r="A97" s="26">
        <v>101020413</v>
      </c>
      <c r="B97" s="287" t="s">
        <v>52</v>
      </c>
      <c r="C97" s="287"/>
      <c r="D97" s="28">
        <v>4000000</v>
      </c>
      <c r="E97" s="134"/>
    </row>
    <row r="98" spans="1:5" s="23" customFormat="1" ht="15.75" customHeight="1">
      <c r="A98" s="30">
        <v>101020414</v>
      </c>
      <c r="B98" s="287" t="s">
        <v>53</v>
      </c>
      <c r="C98" s="287"/>
      <c r="D98" s="28">
        <v>1</v>
      </c>
      <c r="E98" s="134"/>
    </row>
    <row r="99" spans="2:5" s="23" customFormat="1" ht="15.75" customHeight="1">
      <c r="B99" s="32"/>
      <c r="C99" s="21"/>
      <c r="D99" s="33">
        <f>SUM(D85:D98)</f>
        <v>2838959940</v>
      </c>
      <c r="E99" s="134"/>
    </row>
    <row r="100" spans="2:5" s="23" customFormat="1" ht="15.75" customHeight="1">
      <c r="B100" s="32"/>
      <c r="C100" s="21"/>
      <c r="D100" s="22"/>
      <c r="E100" s="134"/>
    </row>
    <row r="101" spans="1:5" s="23" customFormat="1" ht="15.75" customHeight="1">
      <c r="A101" s="24">
        <v>1010205</v>
      </c>
      <c r="B101" s="285" t="s">
        <v>54</v>
      </c>
      <c r="C101" s="285"/>
      <c r="D101" s="22"/>
      <c r="E101" s="134"/>
    </row>
    <row r="102" spans="1:5" s="23" customFormat="1" ht="15.75" customHeight="1">
      <c r="A102" s="26">
        <v>101020501</v>
      </c>
      <c r="B102" s="35" t="s">
        <v>55</v>
      </c>
      <c r="C102" s="36"/>
      <c r="D102" s="28">
        <v>15910000</v>
      </c>
      <c r="E102" s="134"/>
    </row>
    <row r="103" spans="1:5" s="23" customFormat="1" ht="15.75" customHeight="1">
      <c r="A103" s="30">
        <v>101020502</v>
      </c>
      <c r="B103" s="288" t="s">
        <v>56</v>
      </c>
      <c r="C103" s="289"/>
      <c r="D103" s="28">
        <v>1</v>
      </c>
      <c r="E103" s="134"/>
    </row>
    <row r="104" spans="1:5" s="23" customFormat="1" ht="15.75" customHeight="1">
      <c r="A104" s="30">
        <v>101020503</v>
      </c>
      <c r="B104" s="283" t="s">
        <v>57</v>
      </c>
      <c r="C104" s="284"/>
      <c r="D104" s="28">
        <v>1</v>
      </c>
      <c r="E104" s="134"/>
    </row>
    <row r="105" spans="2:5" s="23" customFormat="1" ht="14.25" customHeight="1">
      <c r="B105" s="32"/>
      <c r="C105" s="21"/>
      <c r="D105" s="33">
        <f>SUM(D102:D104)</f>
        <v>15910002</v>
      </c>
      <c r="E105" s="134"/>
    </row>
    <row r="106" spans="1:5" s="23" customFormat="1" ht="14.25" customHeight="1">
      <c r="A106" s="24">
        <v>1010206</v>
      </c>
      <c r="B106" s="20" t="s">
        <v>58</v>
      </c>
      <c r="C106" s="21"/>
      <c r="D106" s="22"/>
      <c r="E106" s="134"/>
    </row>
    <row r="107" spans="1:5" s="23" customFormat="1" ht="14.25" customHeight="1">
      <c r="A107" s="26">
        <v>101020601</v>
      </c>
      <c r="B107" s="35" t="s">
        <v>59</v>
      </c>
      <c r="C107" s="36"/>
      <c r="D107" s="28">
        <v>345000</v>
      </c>
      <c r="E107" s="134"/>
    </row>
    <row r="108" spans="1:5" s="23" customFormat="1" ht="14.25" customHeight="1">
      <c r="A108" s="30">
        <v>101020602</v>
      </c>
      <c r="B108" s="35" t="s">
        <v>60</v>
      </c>
      <c r="C108" s="36"/>
      <c r="D108" s="28">
        <v>1</v>
      </c>
      <c r="E108" s="134"/>
    </row>
    <row r="109" spans="1:5" s="23" customFormat="1" ht="14.25" customHeight="1">
      <c r="A109" s="30">
        <v>101020603</v>
      </c>
      <c r="B109" s="35" t="s">
        <v>61</v>
      </c>
      <c r="C109" s="36"/>
      <c r="D109" s="28">
        <v>3000000</v>
      </c>
      <c r="E109" s="134"/>
    </row>
    <row r="110" spans="1:5" s="23" customFormat="1" ht="14.25" customHeight="1">
      <c r="A110" s="30">
        <v>101020604</v>
      </c>
      <c r="B110" s="35" t="s">
        <v>62</v>
      </c>
      <c r="C110" s="36"/>
      <c r="D110" s="28">
        <v>4000000</v>
      </c>
      <c r="E110" s="134"/>
    </row>
    <row r="111" spans="2:5" s="23" customFormat="1" ht="15.75">
      <c r="B111" s="32"/>
      <c r="C111" s="21"/>
      <c r="D111" s="33">
        <f>SUM(D107:D110)</f>
        <v>7345001</v>
      </c>
      <c r="E111" s="134"/>
    </row>
    <row r="112" spans="1:5" s="23" customFormat="1" ht="15">
      <c r="A112" s="19">
        <v>102</v>
      </c>
      <c r="B112" s="20" t="s">
        <v>63</v>
      </c>
      <c r="C112" s="21"/>
      <c r="D112" s="22"/>
      <c r="E112" s="134"/>
    </row>
    <row r="113" spans="1:5" s="23" customFormat="1" ht="15">
      <c r="A113" s="24">
        <v>10201</v>
      </c>
      <c r="B113" s="20" t="s">
        <v>64</v>
      </c>
      <c r="C113" s="21"/>
      <c r="D113" s="22"/>
      <c r="E113" s="134"/>
    </row>
    <row r="114" spans="1:5" s="23" customFormat="1" ht="15">
      <c r="A114" s="26">
        <v>1020101</v>
      </c>
      <c r="B114" s="35" t="s">
        <v>65</v>
      </c>
      <c r="C114" s="36"/>
      <c r="D114" s="28">
        <v>7800000</v>
      </c>
      <c r="E114" s="134"/>
    </row>
    <row r="115" spans="2:5" s="23" customFormat="1" ht="15.75">
      <c r="B115" s="32"/>
      <c r="C115" s="48"/>
      <c r="D115" s="33">
        <f>SUM(D114)</f>
        <v>7800000</v>
      </c>
      <c r="E115" s="134"/>
    </row>
    <row r="116" spans="2:5" s="23" customFormat="1" ht="15">
      <c r="B116" s="32"/>
      <c r="C116" s="48"/>
      <c r="D116" s="22"/>
      <c r="E116" s="134"/>
    </row>
    <row r="117" spans="1:5" s="23" customFormat="1" ht="15">
      <c r="A117" s="24">
        <v>10202</v>
      </c>
      <c r="B117" s="20" t="s">
        <v>66</v>
      </c>
      <c r="C117" s="21"/>
      <c r="D117" s="22"/>
      <c r="E117" s="134"/>
    </row>
    <row r="118" spans="1:5" s="23" customFormat="1" ht="15">
      <c r="A118" s="26">
        <v>1020201</v>
      </c>
      <c r="B118" s="35" t="s">
        <v>67</v>
      </c>
      <c r="C118" s="36"/>
      <c r="D118" s="28">
        <v>1</v>
      </c>
      <c r="E118" s="134"/>
    </row>
    <row r="119" spans="1:5" s="23" customFormat="1" ht="15">
      <c r="A119" s="30">
        <v>1020202</v>
      </c>
      <c r="B119" s="35" t="s">
        <v>68</v>
      </c>
      <c r="C119" s="36"/>
      <c r="D119" s="28">
        <f>1+0</f>
        <v>1</v>
      </c>
      <c r="E119" s="134"/>
    </row>
    <row r="120" spans="2:5" s="23" customFormat="1" ht="15.75">
      <c r="B120" s="32"/>
      <c r="C120" s="48"/>
      <c r="D120" s="33">
        <f>SUM(D118:D119)</f>
        <v>2</v>
      </c>
      <c r="E120" s="134"/>
    </row>
    <row r="121" spans="1:5" s="23" customFormat="1" ht="15.75">
      <c r="A121" s="19">
        <v>103</v>
      </c>
      <c r="B121" s="49" t="s">
        <v>69</v>
      </c>
      <c r="C121" s="48"/>
      <c r="D121" s="22"/>
      <c r="E121" s="134"/>
    </row>
    <row r="122" spans="1:5" s="23" customFormat="1" ht="15">
      <c r="A122" s="19">
        <v>10301</v>
      </c>
      <c r="B122" s="20" t="s">
        <v>70</v>
      </c>
      <c r="C122" s="48"/>
      <c r="D122" s="22"/>
      <c r="E122" s="134"/>
    </row>
    <row r="123" spans="1:5" s="23" customFormat="1" ht="15">
      <c r="A123" s="24">
        <v>1030101</v>
      </c>
      <c r="B123" s="285" t="s">
        <v>71</v>
      </c>
      <c r="C123" s="285"/>
      <c r="D123" s="22"/>
      <c r="E123" s="134"/>
    </row>
    <row r="124" spans="1:5" s="23" customFormat="1" ht="15">
      <c r="A124" s="26">
        <v>103010101</v>
      </c>
      <c r="B124" s="35" t="s">
        <v>72</v>
      </c>
      <c r="C124" s="36"/>
      <c r="D124" s="28">
        <v>23565000</v>
      </c>
      <c r="E124" s="134"/>
    </row>
    <row r="125" spans="2:5" s="23" customFormat="1" ht="15.75">
      <c r="B125" s="32"/>
      <c r="C125" s="48"/>
      <c r="D125" s="33">
        <f>SUM(D124)</f>
        <v>23565000</v>
      </c>
      <c r="E125" s="134"/>
    </row>
    <row r="126" spans="1:5" s="23" customFormat="1" ht="15.75">
      <c r="A126" s="23">
        <v>10302</v>
      </c>
      <c r="B126" s="49" t="s">
        <v>73</v>
      </c>
      <c r="C126" s="48"/>
      <c r="D126" s="25"/>
      <c r="E126" s="134"/>
    </row>
    <row r="127" spans="1:5" s="23" customFormat="1" ht="15">
      <c r="A127" s="30">
        <v>1030201</v>
      </c>
      <c r="B127" s="38" t="s">
        <v>74</v>
      </c>
      <c r="C127" s="39"/>
      <c r="D127" s="50">
        <v>1</v>
      </c>
      <c r="E127" s="134"/>
    </row>
    <row r="128" spans="1:5" s="23" customFormat="1" ht="15">
      <c r="A128" s="30">
        <v>1030202</v>
      </c>
      <c r="B128" s="38" t="s">
        <v>75</v>
      </c>
      <c r="C128" s="39"/>
      <c r="D128" s="50">
        <v>12110000</v>
      </c>
      <c r="E128" s="134"/>
    </row>
    <row r="129" spans="2:5" s="23" customFormat="1" ht="15.75">
      <c r="B129" s="32"/>
      <c r="C129" s="48"/>
      <c r="D129" s="51">
        <f>SUM(D127:D128)</f>
        <v>12110001</v>
      </c>
      <c r="E129" s="134"/>
    </row>
    <row r="130" spans="2:5" s="23" customFormat="1" ht="15.75">
      <c r="B130" s="32"/>
      <c r="C130" s="48"/>
      <c r="D130" s="33"/>
      <c r="E130" s="134"/>
    </row>
    <row r="131" spans="1:5" s="23" customFormat="1" ht="15.75">
      <c r="A131" s="23">
        <v>10303</v>
      </c>
      <c r="B131" s="49" t="s">
        <v>76</v>
      </c>
      <c r="C131" s="48"/>
      <c r="D131" s="25"/>
      <c r="E131" s="134"/>
    </row>
    <row r="132" spans="1:5" s="23" customFormat="1" ht="15">
      <c r="A132" s="30">
        <v>1030301</v>
      </c>
      <c r="B132" s="38" t="s">
        <v>77</v>
      </c>
      <c r="C132" s="39"/>
      <c r="D132" s="50">
        <v>22000000</v>
      </c>
      <c r="E132" s="134"/>
    </row>
    <row r="133" spans="2:5" s="23" customFormat="1" ht="15.75">
      <c r="B133" s="32"/>
      <c r="C133" s="48"/>
      <c r="D133" s="51">
        <f>SUM(D132)</f>
        <v>22000000</v>
      </c>
      <c r="E133" s="134"/>
    </row>
    <row r="134" spans="2:5" s="23" customFormat="1" ht="15.75">
      <c r="B134" s="52"/>
      <c r="C134" s="52"/>
      <c r="D134" s="22"/>
      <c r="E134" s="134"/>
    </row>
    <row r="135" spans="1:5" s="23" customFormat="1" ht="45">
      <c r="A135" s="19">
        <v>10304</v>
      </c>
      <c r="B135" s="20" t="s">
        <v>78</v>
      </c>
      <c r="C135" s="48"/>
      <c r="D135" s="22"/>
      <c r="E135" s="134"/>
    </row>
    <row r="136" spans="1:5" s="23" customFormat="1" ht="15">
      <c r="A136" s="24">
        <v>1030401</v>
      </c>
      <c r="B136" s="285" t="s">
        <v>79</v>
      </c>
      <c r="C136" s="285"/>
      <c r="D136" s="22"/>
      <c r="E136" s="134"/>
    </row>
    <row r="137" spans="1:5" s="23" customFormat="1" ht="15">
      <c r="A137" s="26">
        <v>103040101</v>
      </c>
      <c r="B137" s="35" t="s">
        <v>80</v>
      </c>
      <c r="C137" s="36"/>
      <c r="D137" s="28">
        <v>27373244</v>
      </c>
      <c r="E137" s="134"/>
    </row>
    <row r="138" spans="1:5" s="23" customFormat="1" ht="15">
      <c r="A138" s="26">
        <v>103040102</v>
      </c>
      <c r="B138" s="35" t="s">
        <v>81</v>
      </c>
      <c r="C138" s="36"/>
      <c r="D138" s="28">
        <v>5000000</v>
      </c>
      <c r="E138" s="134"/>
    </row>
    <row r="139" spans="1:5" s="23" customFormat="1" ht="15">
      <c r="A139" s="26">
        <v>103040103</v>
      </c>
      <c r="B139" s="35" t="s">
        <v>82</v>
      </c>
      <c r="C139" s="36"/>
      <c r="D139" s="28">
        <v>19542580</v>
      </c>
      <c r="E139" s="134"/>
    </row>
    <row r="140" spans="1:5" s="23" customFormat="1" ht="15">
      <c r="A140" s="26">
        <v>103040104</v>
      </c>
      <c r="B140" s="35" t="s">
        <v>83</v>
      </c>
      <c r="C140" s="36"/>
      <c r="D140" s="28">
        <v>500000</v>
      </c>
      <c r="E140" s="134"/>
    </row>
    <row r="141" spans="1:5" s="23" customFormat="1" ht="15">
      <c r="A141" s="26">
        <v>103040105</v>
      </c>
      <c r="B141" s="35" t="s">
        <v>84</v>
      </c>
      <c r="C141" s="36"/>
      <c r="D141" s="28">
        <v>26569288</v>
      </c>
      <c r="E141" s="134"/>
    </row>
    <row r="142" spans="1:5" s="23" customFormat="1" ht="15">
      <c r="A142" s="26">
        <v>103040106</v>
      </c>
      <c r="B142" s="35" t="s">
        <v>85</v>
      </c>
      <c r="C142" s="36"/>
      <c r="D142" s="28">
        <v>5000000</v>
      </c>
      <c r="E142" s="134"/>
    </row>
    <row r="143" spans="1:5" s="23" customFormat="1" ht="15">
      <c r="A143" s="26">
        <v>103040107</v>
      </c>
      <c r="B143" s="35" t="s">
        <v>86</v>
      </c>
      <c r="C143" s="36"/>
      <c r="D143" s="28">
        <f>500000+9042959</f>
        <v>9542959</v>
      </c>
      <c r="E143" s="134"/>
    </row>
    <row r="144" spans="2:5" s="23" customFormat="1" ht="15.75">
      <c r="B144" s="52"/>
      <c r="C144" s="52"/>
      <c r="D144" s="33">
        <f>SUM(D137:D143)</f>
        <v>93528071</v>
      </c>
      <c r="E144" s="134">
        <f>+D144-D320</f>
        <v>0</v>
      </c>
    </row>
    <row r="145" spans="2:5" s="23" customFormat="1" ht="17.25" customHeight="1">
      <c r="B145" s="290" t="s">
        <v>269</v>
      </c>
      <c r="C145" s="290"/>
      <c r="D145" s="33">
        <f>+D38+D54+D70+D76+D82+D99+D105+D111+D115+D120+D125+D129+D133+D144</f>
        <v>3736653595</v>
      </c>
      <c r="E145" s="139"/>
    </row>
    <row r="146" spans="2:5" s="23" customFormat="1" ht="17.25" customHeight="1">
      <c r="B146" s="53"/>
      <c r="C146" s="53"/>
      <c r="D146" s="33"/>
      <c r="E146" s="139"/>
    </row>
    <row r="147" spans="1:5" s="23" customFormat="1" ht="17.25" customHeight="1">
      <c r="A147" s="304" t="s">
        <v>474</v>
      </c>
      <c r="B147" s="304"/>
      <c r="C147" s="304"/>
      <c r="D147" s="304"/>
      <c r="E147" s="134"/>
    </row>
    <row r="148" spans="1:5" s="23" customFormat="1" ht="11.25" customHeight="1">
      <c r="A148" s="304"/>
      <c r="B148" s="304"/>
      <c r="C148" s="304"/>
      <c r="D148" s="304"/>
      <c r="E148" s="140"/>
    </row>
    <row r="149" spans="1:5" s="23" customFormat="1" ht="22.5" customHeight="1">
      <c r="A149" s="304"/>
      <c r="B149" s="304"/>
      <c r="C149" s="304"/>
      <c r="D149" s="304"/>
      <c r="E149" s="134"/>
    </row>
    <row r="150" spans="1:5" s="23" customFormat="1" ht="22.5" customHeight="1">
      <c r="A150" s="304"/>
      <c r="B150" s="304"/>
      <c r="C150" s="304"/>
      <c r="D150" s="304"/>
      <c r="E150" s="134"/>
    </row>
    <row r="151" spans="1:5" s="23" customFormat="1" ht="15">
      <c r="A151" s="304"/>
      <c r="B151" s="304"/>
      <c r="C151" s="304"/>
      <c r="D151" s="304"/>
      <c r="E151" s="134"/>
    </row>
    <row r="152" spans="1:5" s="23" customFormat="1" ht="15">
      <c r="A152" s="304"/>
      <c r="B152" s="304"/>
      <c r="C152" s="304"/>
      <c r="D152" s="304"/>
      <c r="E152" s="134"/>
    </row>
    <row r="153" spans="1:5" s="23" customFormat="1" ht="15">
      <c r="A153" s="304"/>
      <c r="B153" s="304"/>
      <c r="C153" s="304"/>
      <c r="D153" s="304"/>
      <c r="E153" s="134"/>
    </row>
    <row r="154" spans="1:5" s="23" customFormat="1" ht="15">
      <c r="A154" s="304"/>
      <c r="B154" s="304"/>
      <c r="C154" s="304"/>
      <c r="D154" s="304"/>
      <c r="E154" s="134"/>
    </row>
    <row r="155" spans="1:5" s="23" customFormat="1" ht="19.5" customHeight="1">
      <c r="A155" s="19">
        <v>2</v>
      </c>
      <c r="B155" s="54" t="s">
        <v>87</v>
      </c>
      <c r="C155" s="55"/>
      <c r="D155" s="22"/>
      <c r="E155" s="134"/>
    </row>
    <row r="156" spans="1:5" s="23" customFormat="1" ht="19.5" customHeight="1">
      <c r="A156" s="19">
        <v>201</v>
      </c>
      <c r="B156" s="128" t="s">
        <v>88</v>
      </c>
      <c r="C156" s="56"/>
      <c r="D156" s="22" t="s">
        <v>1</v>
      </c>
      <c r="E156" s="134"/>
    </row>
    <row r="157" spans="1:5" s="23" customFormat="1" ht="19.5" customHeight="1">
      <c r="A157" s="24">
        <v>20101</v>
      </c>
      <c r="B157" s="49" t="s">
        <v>89</v>
      </c>
      <c r="C157" s="21"/>
      <c r="D157" s="22"/>
      <c r="E157" s="134"/>
    </row>
    <row r="158" spans="1:5" s="23" customFormat="1" ht="18.75" customHeight="1">
      <c r="A158" s="26">
        <v>201010101</v>
      </c>
      <c r="B158" s="35" t="s">
        <v>90</v>
      </c>
      <c r="C158" s="36"/>
      <c r="D158" s="28">
        <f>7183032+850000</f>
        <v>8033032</v>
      </c>
      <c r="E158" s="134"/>
    </row>
    <row r="159" spans="1:5" s="23" customFormat="1" ht="18.75" customHeight="1">
      <c r="A159" s="30">
        <v>201010102</v>
      </c>
      <c r="B159" s="35" t="s">
        <v>91</v>
      </c>
      <c r="C159" s="36"/>
      <c r="D159" s="28">
        <f>623527+50000</f>
        <v>673527</v>
      </c>
      <c r="E159" s="134"/>
    </row>
    <row r="160" spans="1:5" s="23" customFormat="1" ht="18.75" customHeight="1">
      <c r="A160" s="30">
        <v>201010103</v>
      </c>
      <c r="B160" s="35" t="s">
        <v>92</v>
      </c>
      <c r="C160" s="36"/>
      <c r="D160" s="28">
        <f>300000+35000</f>
        <v>335000</v>
      </c>
      <c r="E160" s="134"/>
    </row>
    <row r="161" spans="1:5" s="23" customFormat="1" ht="16.5" customHeight="1">
      <c r="A161" s="30">
        <v>201010104</v>
      </c>
      <c r="B161" s="35" t="s">
        <v>93</v>
      </c>
      <c r="C161" s="36"/>
      <c r="D161" s="28">
        <f>400000+50000</f>
        <v>450000</v>
      </c>
      <c r="E161" s="134"/>
    </row>
    <row r="162" spans="1:5" s="23" customFormat="1" ht="16.5" customHeight="1">
      <c r="A162" s="30">
        <v>201010105</v>
      </c>
      <c r="B162" s="35" t="s">
        <v>94</v>
      </c>
      <c r="C162" s="36"/>
      <c r="D162" s="28">
        <f>58832278-1917000-264881</f>
        <v>56650397</v>
      </c>
      <c r="E162" s="134"/>
    </row>
    <row r="163" spans="1:5" s="23" customFormat="1" ht="16.5" customHeight="1">
      <c r="A163" s="30">
        <v>201010106</v>
      </c>
      <c r="B163" s="35" t="s">
        <v>95</v>
      </c>
      <c r="C163" s="36"/>
      <c r="D163" s="28">
        <v>5412000</v>
      </c>
      <c r="E163" s="134"/>
    </row>
    <row r="164" spans="1:5" s="23" customFormat="1" ht="16.5" customHeight="1">
      <c r="A164" s="30">
        <v>201010107</v>
      </c>
      <c r="B164" s="38" t="s">
        <v>96</v>
      </c>
      <c r="C164" s="39"/>
      <c r="D164" s="28">
        <f>600000+32000</f>
        <v>632000</v>
      </c>
      <c r="E164" s="134"/>
    </row>
    <row r="165" spans="2:5" s="23" customFormat="1" ht="16.5" customHeight="1">
      <c r="B165" s="49" t="s">
        <v>97</v>
      </c>
      <c r="C165" s="21"/>
      <c r="D165" s="57">
        <f>SUM(D158:D164)</f>
        <v>72185956</v>
      </c>
      <c r="E165" s="134"/>
    </row>
    <row r="166" spans="2:5" s="23" customFormat="1" ht="16.5" customHeight="1">
      <c r="B166" s="49"/>
      <c r="C166" s="21"/>
      <c r="D166" s="58" t="s">
        <v>1</v>
      </c>
      <c r="E166" s="134"/>
    </row>
    <row r="167" spans="1:5" s="23" customFormat="1" ht="16.5" customHeight="1">
      <c r="A167" s="23">
        <v>2010102</v>
      </c>
      <c r="B167" s="49" t="s">
        <v>98</v>
      </c>
      <c r="C167" s="21"/>
      <c r="D167" s="22"/>
      <c r="E167" s="134"/>
    </row>
    <row r="168" spans="1:5" s="23" customFormat="1" ht="16.5" customHeight="1">
      <c r="A168" s="30">
        <v>201010201</v>
      </c>
      <c r="B168" s="283" t="s">
        <v>99</v>
      </c>
      <c r="C168" s="284"/>
      <c r="D168" s="28">
        <v>500000</v>
      </c>
      <c r="E168" s="134"/>
    </row>
    <row r="169" spans="1:5" s="23" customFormat="1" ht="16.5" customHeight="1">
      <c r="A169" s="30">
        <v>201010202</v>
      </c>
      <c r="B169" s="35" t="s">
        <v>100</v>
      </c>
      <c r="C169" s="36"/>
      <c r="D169" s="28">
        <v>1000000</v>
      </c>
      <c r="E169" s="134"/>
    </row>
    <row r="170" spans="1:5" s="23" customFormat="1" ht="16.5" customHeight="1">
      <c r="A170" s="30">
        <v>201010203</v>
      </c>
      <c r="B170" s="35" t="s">
        <v>101</v>
      </c>
      <c r="C170" s="36"/>
      <c r="D170" s="28">
        <v>2240976</v>
      </c>
      <c r="E170" s="134"/>
    </row>
    <row r="171" spans="1:5" s="23" customFormat="1" ht="16.5" customHeight="1">
      <c r="A171" s="30">
        <v>201010204</v>
      </c>
      <c r="B171" s="35" t="s">
        <v>102</v>
      </c>
      <c r="C171" s="36"/>
      <c r="D171" s="28">
        <v>500000</v>
      </c>
      <c r="E171" s="134"/>
    </row>
    <row r="172" spans="1:5" s="23" customFormat="1" ht="15.75" customHeight="1">
      <c r="A172" s="30">
        <v>201010205</v>
      </c>
      <c r="B172" s="35" t="s">
        <v>103</v>
      </c>
      <c r="C172" s="36"/>
      <c r="D172" s="28">
        <v>253145</v>
      </c>
      <c r="E172" s="134"/>
    </row>
    <row r="173" spans="1:5" s="23" customFormat="1" ht="18.75" customHeight="1">
      <c r="A173" s="30">
        <v>201010207</v>
      </c>
      <c r="B173" s="283" t="s">
        <v>104</v>
      </c>
      <c r="C173" s="284"/>
      <c r="D173" s="28">
        <v>1371820</v>
      </c>
      <c r="E173" s="134"/>
    </row>
    <row r="174" spans="1:5" s="23" customFormat="1" ht="17.25" customHeight="1">
      <c r="A174" s="30">
        <v>201010209</v>
      </c>
      <c r="B174" s="59" t="s">
        <v>105</v>
      </c>
      <c r="C174" s="60"/>
      <c r="D174" s="28">
        <v>0</v>
      </c>
      <c r="E174" s="134"/>
    </row>
    <row r="175" spans="1:5" s="23" customFormat="1" ht="18.75" customHeight="1">
      <c r="A175" s="30">
        <v>201010210</v>
      </c>
      <c r="B175" s="38" t="s">
        <v>106</v>
      </c>
      <c r="C175" s="39"/>
      <c r="D175" s="28">
        <v>1149000</v>
      </c>
      <c r="E175" s="134"/>
    </row>
    <row r="176" spans="1:5" s="23" customFormat="1" ht="18.75" customHeight="1">
      <c r="A176" s="30">
        <v>201010211</v>
      </c>
      <c r="B176" s="38" t="s">
        <v>107</v>
      </c>
      <c r="C176" s="39"/>
      <c r="D176" s="28">
        <v>369023</v>
      </c>
      <c r="E176" s="134"/>
    </row>
    <row r="177" spans="1:5" s="23" customFormat="1" ht="15.75" customHeight="1">
      <c r="A177" s="30">
        <v>201010212</v>
      </c>
      <c r="B177" s="38" t="s">
        <v>108</v>
      </c>
      <c r="C177" s="39"/>
      <c r="D177" s="28">
        <v>500000</v>
      </c>
      <c r="E177" s="134"/>
    </row>
    <row r="178" spans="2:5" s="23" customFormat="1" ht="20.25" customHeight="1">
      <c r="B178" s="49" t="s">
        <v>97</v>
      </c>
      <c r="C178" s="21"/>
      <c r="D178" s="57">
        <f>SUM(D168:D177)</f>
        <v>7883964</v>
      </c>
      <c r="E178" s="134"/>
    </row>
    <row r="179" spans="2:5" s="23" customFormat="1" ht="15" customHeight="1">
      <c r="B179" s="49"/>
      <c r="C179" s="61"/>
      <c r="D179" s="62"/>
      <c r="E179" s="134"/>
    </row>
    <row r="180" spans="1:5" s="23" customFormat="1" ht="18" customHeight="1">
      <c r="A180" s="23">
        <v>2010103</v>
      </c>
      <c r="B180" s="49" t="s">
        <v>110</v>
      </c>
      <c r="C180" s="21"/>
      <c r="D180" s="22"/>
      <c r="E180" s="134"/>
    </row>
    <row r="181" spans="1:5" s="23" customFormat="1" ht="18" customHeight="1">
      <c r="A181" s="30">
        <v>201010301</v>
      </c>
      <c r="B181" s="283" t="s">
        <v>111</v>
      </c>
      <c r="C181" s="284"/>
      <c r="D181" s="28">
        <f>789204+900000</f>
        <v>1689204</v>
      </c>
      <c r="E181" s="134"/>
    </row>
    <row r="182" spans="1:5" s="23" customFormat="1" ht="18" customHeight="1">
      <c r="A182" s="30">
        <v>201010302</v>
      </c>
      <c r="B182" s="283" t="s">
        <v>112</v>
      </c>
      <c r="C182" s="284"/>
      <c r="D182" s="28">
        <f>500000+264881</f>
        <v>764881</v>
      </c>
      <c r="E182" s="134"/>
    </row>
    <row r="183" spans="2:5" s="23" customFormat="1" ht="18" customHeight="1">
      <c r="B183" s="49" t="s">
        <v>97</v>
      </c>
      <c r="C183" s="21"/>
      <c r="D183" s="33">
        <f>SUM(D181:D182)</f>
        <v>2454085</v>
      </c>
      <c r="E183" s="134"/>
    </row>
    <row r="184" spans="2:5" s="23" customFormat="1" ht="18" customHeight="1">
      <c r="B184" s="49" t="s">
        <v>113</v>
      </c>
      <c r="C184" s="61"/>
      <c r="D184" s="62">
        <f>D178+D165+D183</f>
        <v>82524005</v>
      </c>
      <c r="E184" s="134"/>
    </row>
    <row r="185" spans="3:5" s="23" customFormat="1" ht="18" customHeight="1">
      <c r="C185" s="21"/>
      <c r="D185" s="57"/>
      <c r="E185" s="134"/>
    </row>
    <row r="186" spans="1:5" s="23" customFormat="1" ht="18" customHeight="1">
      <c r="A186" s="19">
        <v>20102</v>
      </c>
      <c r="B186" s="20" t="s">
        <v>114</v>
      </c>
      <c r="C186" s="21"/>
      <c r="D186" s="22"/>
      <c r="E186" s="134"/>
    </row>
    <row r="187" spans="1:5" s="23" customFormat="1" ht="15" customHeight="1">
      <c r="A187" s="24">
        <v>2010201</v>
      </c>
      <c r="B187" s="63" t="s">
        <v>89</v>
      </c>
      <c r="C187" s="21"/>
      <c r="D187" s="22"/>
      <c r="E187" s="134"/>
    </row>
    <row r="188" spans="1:5" s="23" customFormat="1" ht="18" customHeight="1">
      <c r="A188" s="26">
        <v>201020101</v>
      </c>
      <c r="B188" s="35" t="s">
        <v>115</v>
      </c>
      <c r="C188" s="36"/>
      <c r="D188" s="28">
        <v>38921664</v>
      </c>
      <c r="E188" s="134"/>
    </row>
    <row r="189" spans="1:5" s="23" customFormat="1" ht="17.25" customHeight="1">
      <c r="A189" s="30">
        <v>201020102</v>
      </c>
      <c r="B189" s="35" t="s">
        <v>91</v>
      </c>
      <c r="C189" s="36"/>
      <c r="D189" s="28">
        <v>3396636</v>
      </c>
      <c r="E189" s="134"/>
    </row>
    <row r="190" spans="1:5" s="23" customFormat="1" ht="17.25" customHeight="1">
      <c r="A190" s="30">
        <v>201020103</v>
      </c>
      <c r="B190" s="35" t="s">
        <v>116</v>
      </c>
      <c r="C190" s="36"/>
      <c r="D190" s="28">
        <v>1837968</v>
      </c>
      <c r="E190" s="134"/>
    </row>
    <row r="191" spans="1:5" s="23" customFormat="1" ht="17.25" customHeight="1">
      <c r="A191" s="30">
        <v>201020104</v>
      </c>
      <c r="B191" s="35" t="s">
        <v>93</v>
      </c>
      <c r="C191" s="36"/>
      <c r="D191" s="28">
        <v>2010950</v>
      </c>
      <c r="E191" s="134"/>
    </row>
    <row r="192" spans="1:5" s="23" customFormat="1" ht="17.25" customHeight="1">
      <c r="A192" s="30">
        <v>201020105</v>
      </c>
      <c r="B192" s="64" t="s">
        <v>117</v>
      </c>
      <c r="C192" s="65"/>
      <c r="D192" s="28">
        <v>200001</v>
      </c>
      <c r="E192" s="134"/>
    </row>
    <row r="193" spans="1:5" s="23" customFormat="1" ht="17.25" customHeight="1">
      <c r="A193" s="44">
        <v>201020106</v>
      </c>
      <c r="B193" s="38" t="s">
        <v>169</v>
      </c>
      <c r="C193" s="39"/>
      <c r="D193" s="45">
        <v>3019999</v>
      </c>
      <c r="E193" s="134"/>
    </row>
    <row r="194" spans="2:5" s="23" customFormat="1" ht="17.25" customHeight="1">
      <c r="B194" s="49" t="s">
        <v>97</v>
      </c>
      <c r="C194" s="21"/>
      <c r="D194" s="33">
        <f>SUM(D188:D193)</f>
        <v>49387218</v>
      </c>
      <c r="E194" s="134"/>
    </row>
    <row r="195" spans="2:5" s="23" customFormat="1" ht="17.25" customHeight="1">
      <c r="B195" s="49"/>
      <c r="C195" s="21"/>
      <c r="D195" s="22"/>
      <c r="E195" s="134"/>
    </row>
    <row r="196" spans="1:5" s="23" customFormat="1" ht="17.25" customHeight="1">
      <c r="A196" s="23">
        <v>2010202</v>
      </c>
      <c r="B196" s="49" t="s">
        <v>118</v>
      </c>
      <c r="C196" s="21"/>
      <c r="D196" s="22"/>
      <c r="E196" s="134"/>
    </row>
    <row r="197" spans="1:5" s="23" customFormat="1" ht="17.25" customHeight="1">
      <c r="A197" s="30">
        <v>201020201</v>
      </c>
      <c r="B197" s="35" t="s">
        <v>119</v>
      </c>
      <c r="C197" s="36"/>
      <c r="D197" s="28">
        <v>36402</v>
      </c>
      <c r="E197" s="134"/>
    </row>
    <row r="198" spans="1:5" s="23" customFormat="1" ht="17.25" customHeight="1">
      <c r="A198" s="30">
        <v>201020202</v>
      </c>
      <c r="B198" s="35" t="s">
        <v>120</v>
      </c>
      <c r="C198" s="36"/>
      <c r="D198" s="28">
        <v>1500000</v>
      </c>
      <c r="E198" s="134"/>
    </row>
    <row r="199" spans="1:5" s="23" customFormat="1" ht="17.25" customHeight="1">
      <c r="A199" s="30">
        <v>201020203</v>
      </c>
      <c r="B199" s="35" t="s">
        <v>121</v>
      </c>
      <c r="C199" s="36"/>
      <c r="D199" s="28">
        <v>10000</v>
      </c>
      <c r="E199" s="134"/>
    </row>
    <row r="200" spans="1:5" s="23" customFormat="1" ht="19.5" customHeight="1">
      <c r="A200" s="30">
        <v>201020204</v>
      </c>
      <c r="B200" s="35" t="s">
        <v>122</v>
      </c>
      <c r="C200" s="36"/>
      <c r="D200" s="28">
        <v>20000</v>
      </c>
      <c r="E200" s="134"/>
    </row>
    <row r="201" spans="1:5" s="23" customFormat="1" ht="15">
      <c r="A201" s="30">
        <v>201020205</v>
      </c>
      <c r="B201" s="288" t="s">
        <v>123</v>
      </c>
      <c r="C201" s="289"/>
      <c r="D201" s="28">
        <v>3257088</v>
      </c>
      <c r="E201" s="134"/>
    </row>
    <row r="202" spans="1:5" s="23" customFormat="1" ht="18" customHeight="1">
      <c r="A202" s="30">
        <v>201020206</v>
      </c>
      <c r="B202" s="288" t="s">
        <v>124</v>
      </c>
      <c r="C202" s="289"/>
      <c r="D202" s="28">
        <v>100000</v>
      </c>
      <c r="E202" s="134"/>
    </row>
    <row r="203" spans="1:5" s="23" customFormat="1" ht="18" customHeight="1">
      <c r="A203" s="30">
        <v>201020207</v>
      </c>
      <c r="B203" s="283" t="s">
        <v>125</v>
      </c>
      <c r="C203" s="284"/>
      <c r="D203" s="28">
        <v>100000</v>
      </c>
      <c r="E203" s="134"/>
    </row>
    <row r="204" spans="1:5" s="23" customFormat="1" ht="21" customHeight="1">
      <c r="A204" s="30">
        <v>201020208</v>
      </c>
      <c r="B204" s="283" t="s">
        <v>126</v>
      </c>
      <c r="C204" s="284"/>
      <c r="D204" s="28">
        <v>10000</v>
      </c>
      <c r="E204" s="134"/>
    </row>
    <row r="205" spans="1:5" s="23" customFormat="1" ht="17.25" customHeight="1">
      <c r="A205" s="30">
        <v>201020209</v>
      </c>
      <c r="B205" s="35" t="s">
        <v>127</v>
      </c>
      <c r="C205" s="36"/>
      <c r="D205" s="28">
        <v>2000000</v>
      </c>
      <c r="E205" s="134"/>
    </row>
    <row r="206" spans="1:5" s="23" customFormat="1" ht="15" customHeight="1">
      <c r="A206" s="30">
        <v>201020210</v>
      </c>
      <c r="B206" s="35" t="s">
        <v>128</v>
      </c>
      <c r="C206" s="36"/>
      <c r="D206" s="28">
        <v>1322401</v>
      </c>
      <c r="E206" s="134"/>
    </row>
    <row r="207" spans="2:5" s="23" customFormat="1" ht="17.25" customHeight="1">
      <c r="B207" s="49" t="s">
        <v>97</v>
      </c>
      <c r="C207" s="21"/>
      <c r="D207" s="57">
        <f>SUM(D197:D206)</f>
        <v>8355891</v>
      </c>
      <c r="E207" s="134"/>
    </row>
    <row r="208" spans="2:5" s="23" customFormat="1" ht="15" customHeight="1">
      <c r="B208" s="49"/>
      <c r="C208" s="21"/>
      <c r="D208" s="58"/>
      <c r="E208" s="134"/>
    </row>
    <row r="209" spans="1:5" s="23" customFormat="1" ht="17.25" customHeight="1">
      <c r="A209" s="24">
        <v>2010203</v>
      </c>
      <c r="B209" s="49" t="s">
        <v>110</v>
      </c>
      <c r="C209" s="21"/>
      <c r="D209" s="22"/>
      <c r="E209" s="134"/>
    </row>
    <row r="210" spans="1:5" s="23" customFormat="1" ht="15" customHeight="1">
      <c r="A210" s="26">
        <v>201020301</v>
      </c>
      <c r="B210" s="283" t="s">
        <v>111</v>
      </c>
      <c r="C210" s="284"/>
      <c r="D210" s="28">
        <v>7978941</v>
      </c>
      <c r="E210" s="134"/>
    </row>
    <row r="211" spans="1:5" s="23" customFormat="1" ht="19.5" customHeight="1">
      <c r="A211" s="30">
        <v>201020302</v>
      </c>
      <c r="B211" s="283" t="s">
        <v>112</v>
      </c>
      <c r="C211" s="284"/>
      <c r="D211" s="28">
        <v>3502950</v>
      </c>
      <c r="E211" s="134"/>
    </row>
    <row r="212" spans="2:5" s="23" customFormat="1" ht="18.75" customHeight="1">
      <c r="B212" s="66" t="s">
        <v>97</v>
      </c>
      <c r="C212" s="67"/>
      <c r="D212" s="68">
        <f>SUM(D210:D211)</f>
        <v>11481891</v>
      </c>
      <c r="E212" s="265" t="s">
        <v>454</v>
      </c>
    </row>
    <row r="213" spans="2:5" s="23" customFormat="1" ht="17.25" customHeight="1">
      <c r="B213" s="49" t="s">
        <v>129</v>
      </c>
      <c r="C213" s="21"/>
      <c r="D213" s="57">
        <f>+D212+D207+D194</f>
        <v>69225000</v>
      </c>
      <c r="E213" s="263">
        <v>4170000</v>
      </c>
    </row>
    <row r="214" spans="2:5" s="23" customFormat="1" ht="12.75" customHeight="1">
      <c r="B214" s="49"/>
      <c r="C214" s="21"/>
      <c r="D214" s="58"/>
      <c r="E214" s="134"/>
    </row>
    <row r="215" spans="1:5" s="23" customFormat="1" ht="18.75" customHeight="1">
      <c r="A215" s="19">
        <v>20103</v>
      </c>
      <c r="B215" s="291" t="s">
        <v>130</v>
      </c>
      <c r="C215" s="291"/>
      <c r="D215" s="22" t="s">
        <v>1</v>
      </c>
      <c r="E215" s="134"/>
    </row>
    <row r="216" spans="1:5" s="23" customFormat="1" ht="16.5" customHeight="1">
      <c r="A216" s="24">
        <v>2010301</v>
      </c>
      <c r="B216" s="52" t="s">
        <v>131</v>
      </c>
      <c r="C216" s="21"/>
      <c r="D216" s="22"/>
      <c r="E216" s="134"/>
    </row>
    <row r="217" spans="1:5" s="23" customFormat="1" ht="16.5" customHeight="1">
      <c r="A217" s="26">
        <v>201030101</v>
      </c>
      <c r="B217" s="35" t="s">
        <v>115</v>
      </c>
      <c r="C217" s="36"/>
      <c r="D217" s="28">
        <f>40028568</f>
        <v>40028568</v>
      </c>
      <c r="E217" s="134"/>
    </row>
    <row r="218" spans="1:5" s="23" customFormat="1" ht="16.5" customHeight="1">
      <c r="A218" s="30">
        <v>201030102</v>
      </c>
      <c r="B218" s="35" t="s">
        <v>132</v>
      </c>
      <c r="C218" s="36"/>
      <c r="D218" s="28">
        <f>3474703</f>
        <v>3474703</v>
      </c>
      <c r="E218" s="134"/>
    </row>
    <row r="219" spans="1:5" s="23" customFormat="1" ht="16.5" customHeight="1">
      <c r="A219" s="30">
        <v>201030103</v>
      </c>
      <c r="B219" s="35" t="s">
        <v>92</v>
      </c>
      <c r="C219" s="36"/>
      <c r="D219" s="28">
        <f>1667859+91730+1515225+64028</f>
        <v>3338842</v>
      </c>
      <c r="E219" s="134"/>
    </row>
    <row r="220" spans="2:5" s="23" customFormat="1" ht="17.25" customHeight="1">
      <c r="B220" s="49" t="s">
        <v>97</v>
      </c>
      <c r="C220" s="21"/>
      <c r="D220" s="57">
        <f>SUM(D217:D219)</f>
        <v>46842113</v>
      </c>
      <c r="E220" s="263">
        <f>+D220-45171130</f>
        <v>1670983</v>
      </c>
    </row>
    <row r="221" spans="2:5" s="23" customFormat="1" ht="3.75" customHeight="1">
      <c r="B221" s="49"/>
      <c r="C221" s="21"/>
      <c r="D221" s="22"/>
      <c r="E221" s="134"/>
    </row>
    <row r="222" spans="1:5" s="23" customFormat="1" ht="15.75">
      <c r="A222" s="24">
        <v>2010302</v>
      </c>
      <c r="B222" s="49" t="s">
        <v>133</v>
      </c>
      <c r="C222" s="21"/>
      <c r="D222" s="22"/>
      <c r="E222" s="134"/>
    </row>
    <row r="223" spans="1:5" s="23" customFormat="1" ht="20.25" customHeight="1">
      <c r="A223" s="26">
        <v>201030201</v>
      </c>
      <c r="B223" s="283" t="s">
        <v>134</v>
      </c>
      <c r="C223" s="284"/>
      <c r="D223" s="28">
        <f>56565697+11212364</f>
        <v>67778061</v>
      </c>
      <c r="E223" s="134"/>
    </row>
    <row r="224" spans="1:5" s="23" customFormat="1" ht="21" customHeight="1">
      <c r="A224" s="30">
        <v>201030202</v>
      </c>
      <c r="B224" s="283" t="s">
        <v>135</v>
      </c>
      <c r="C224" s="284"/>
      <c r="D224" s="28">
        <f>25265075+1303078</f>
        <v>26568153</v>
      </c>
      <c r="E224" s="134"/>
    </row>
    <row r="225" spans="1:5" s="23" customFormat="1" ht="21" customHeight="1">
      <c r="A225" s="30">
        <v>201030203</v>
      </c>
      <c r="B225" s="283" t="s">
        <v>136</v>
      </c>
      <c r="C225" s="284"/>
      <c r="D225" s="28">
        <v>1000000</v>
      </c>
      <c r="E225" s="134"/>
    </row>
    <row r="226" spans="1:5" s="23" customFormat="1" ht="21" customHeight="1">
      <c r="A226" s="30">
        <v>201030204</v>
      </c>
      <c r="B226" s="35" t="s">
        <v>137</v>
      </c>
      <c r="C226" s="36"/>
      <c r="D226" s="28">
        <v>70178000</v>
      </c>
      <c r="E226" s="134">
        <f>856356813-D226</f>
        <v>786178813</v>
      </c>
    </row>
    <row r="227" spans="2:5" s="23" customFormat="1" ht="21" customHeight="1">
      <c r="B227" s="49" t="s">
        <v>97</v>
      </c>
      <c r="C227" s="21"/>
      <c r="D227" s="57">
        <f>SUM(D223:D226)</f>
        <v>165524214</v>
      </c>
      <c r="E227" s="263">
        <v>13715442</v>
      </c>
    </row>
    <row r="228" spans="2:5" s="23" customFormat="1" ht="21" customHeight="1">
      <c r="B228" s="49" t="s">
        <v>138</v>
      </c>
      <c r="C228" s="21"/>
      <c r="D228" s="33">
        <f>+D220+D227</f>
        <v>212366327</v>
      </c>
      <c r="E228" s="134"/>
    </row>
    <row r="229" spans="2:5" s="23" customFormat="1" ht="15">
      <c r="B229" s="32"/>
      <c r="C229" s="21"/>
      <c r="D229" s="22"/>
      <c r="E229" s="134"/>
    </row>
    <row r="230" spans="1:5" s="23" customFormat="1" ht="20.25" customHeight="1">
      <c r="A230" s="19">
        <v>20104</v>
      </c>
      <c r="B230" s="291" t="s">
        <v>139</v>
      </c>
      <c r="C230" s="291"/>
      <c r="D230" s="22"/>
      <c r="E230" s="134"/>
    </row>
    <row r="231" spans="1:5" s="23" customFormat="1" ht="20.25" customHeight="1">
      <c r="A231" s="24">
        <v>2010401</v>
      </c>
      <c r="B231" s="49" t="s">
        <v>89</v>
      </c>
      <c r="C231" s="21"/>
      <c r="D231" s="22"/>
      <c r="E231" s="134"/>
    </row>
    <row r="232" spans="1:5" s="23" customFormat="1" ht="20.25" customHeight="1">
      <c r="A232" s="26">
        <v>201040101</v>
      </c>
      <c r="B232" s="35" t="s">
        <v>140</v>
      </c>
      <c r="C232" s="36"/>
      <c r="D232" s="28">
        <f>44639760</f>
        <v>44639760</v>
      </c>
      <c r="E232" s="134"/>
    </row>
    <row r="233" spans="1:5" s="23" customFormat="1" ht="20.25" customHeight="1">
      <c r="A233" s="30">
        <v>201040102</v>
      </c>
      <c r="B233" s="35" t="s">
        <v>91</v>
      </c>
      <c r="C233" s="36"/>
      <c r="D233" s="28">
        <f>3875000</f>
        <v>3875000</v>
      </c>
      <c r="E233" s="134"/>
    </row>
    <row r="234" spans="1:5" s="23" customFormat="1" ht="20.25" customHeight="1">
      <c r="A234" s="30">
        <v>201040103</v>
      </c>
      <c r="B234" s="35" t="s">
        <v>141</v>
      </c>
      <c r="C234" s="36"/>
      <c r="D234" s="28">
        <f>1860000+111590+398201</f>
        <v>2369791</v>
      </c>
      <c r="E234" s="134"/>
    </row>
    <row r="235" spans="2:5" s="23" customFormat="1" ht="16.5" customHeight="1">
      <c r="B235" s="49" t="s">
        <v>97</v>
      </c>
      <c r="C235" s="21"/>
      <c r="D235" s="57">
        <f>SUM(D232:D234)</f>
        <v>50884551</v>
      </c>
      <c r="E235" s="263">
        <f>+D235-50374760</f>
        <v>509791</v>
      </c>
    </row>
    <row r="236" spans="2:5" s="23" customFormat="1" ht="15.75">
      <c r="B236" s="49"/>
      <c r="C236" s="21"/>
      <c r="D236" s="58"/>
      <c r="E236" s="134"/>
    </row>
    <row r="237" spans="1:5" s="23" customFormat="1" ht="15">
      <c r="A237" s="19">
        <v>20105</v>
      </c>
      <c r="B237" s="291" t="s">
        <v>142</v>
      </c>
      <c r="C237" s="291"/>
      <c r="D237" s="22"/>
      <c r="E237" s="134"/>
    </row>
    <row r="238" spans="1:5" s="23" customFormat="1" ht="15.75" customHeight="1">
      <c r="A238" s="24">
        <v>2010501</v>
      </c>
      <c r="B238" s="49" t="s">
        <v>89</v>
      </c>
      <c r="C238" s="21"/>
      <c r="D238" s="22"/>
      <c r="E238" s="134"/>
    </row>
    <row r="239" spans="1:5" s="23" customFormat="1" ht="20.25" customHeight="1">
      <c r="A239" s="26">
        <v>201050101</v>
      </c>
      <c r="B239" s="35" t="s">
        <v>140</v>
      </c>
      <c r="C239" s="36"/>
      <c r="D239" s="28">
        <f>52896312</f>
        <v>52896312</v>
      </c>
      <c r="E239" s="134"/>
    </row>
    <row r="240" spans="1:5" s="23" customFormat="1" ht="21" customHeight="1">
      <c r="A240" s="30">
        <v>201050102</v>
      </c>
      <c r="B240" s="35" t="s">
        <v>91</v>
      </c>
      <c r="C240" s="36"/>
      <c r="D240" s="28">
        <f>4592000+275197</f>
        <v>4867197</v>
      </c>
      <c r="E240" s="134"/>
    </row>
    <row r="241" spans="1:5" s="23" customFormat="1" ht="21" customHeight="1">
      <c r="A241" s="30">
        <v>201050103</v>
      </c>
      <c r="B241" s="35" t="s">
        <v>141</v>
      </c>
      <c r="C241" s="36"/>
      <c r="D241" s="28">
        <f>2214460+121795+428871+469054</f>
        <v>3234180</v>
      </c>
      <c r="E241" s="134"/>
    </row>
    <row r="242" spans="2:5" s="23" customFormat="1" ht="18.75" customHeight="1">
      <c r="B242" s="292" t="s">
        <v>143</v>
      </c>
      <c r="C242" s="292"/>
      <c r="D242" s="33">
        <f>SUM(D239:D241)</f>
        <v>60997689</v>
      </c>
      <c r="E242" s="263">
        <f>+D242-59702772</f>
        <v>1294917</v>
      </c>
    </row>
    <row r="243" spans="2:5" s="23" customFormat="1" ht="13.5" customHeight="1">
      <c r="B243" s="52"/>
      <c r="C243" s="52"/>
      <c r="D243" s="22"/>
      <c r="E243" s="134"/>
    </row>
    <row r="244" spans="1:5" s="23" customFormat="1" ht="15.75" customHeight="1">
      <c r="A244" s="19">
        <v>20106</v>
      </c>
      <c r="B244" s="291" t="s">
        <v>144</v>
      </c>
      <c r="C244" s="291"/>
      <c r="D244" s="22"/>
      <c r="E244" s="134"/>
    </row>
    <row r="245" spans="1:5" s="23" customFormat="1" ht="15.75" customHeight="1">
      <c r="A245" s="24">
        <v>2010601</v>
      </c>
      <c r="B245" s="49" t="s">
        <v>89</v>
      </c>
      <c r="C245" s="21"/>
      <c r="D245" s="22"/>
      <c r="E245" s="134"/>
    </row>
    <row r="246" spans="1:5" s="23" customFormat="1" ht="15.75" customHeight="1">
      <c r="A246" s="26">
        <v>201060101</v>
      </c>
      <c r="B246" s="35" t="s">
        <v>145</v>
      </c>
      <c r="C246" s="36"/>
      <c r="D246" s="28">
        <f>30468000</f>
        <v>30468000</v>
      </c>
      <c r="E246" s="134"/>
    </row>
    <row r="247" spans="1:5" s="23" customFormat="1" ht="15.75" customHeight="1">
      <c r="A247" s="30">
        <v>201060102</v>
      </c>
      <c r="B247" s="35" t="s">
        <v>91</v>
      </c>
      <c r="C247" s="36"/>
      <c r="D247" s="28">
        <f>2645000+158475+7384</f>
        <v>2810859</v>
      </c>
      <c r="E247" s="134"/>
    </row>
    <row r="248" spans="1:5" s="23" customFormat="1" ht="15.75" customHeight="1">
      <c r="A248" s="30">
        <v>201060103</v>
      </c>
      <c r="B248" s="35" t="s">
        <v>116</v>
      </c>
      <c r="C248" s="36"/>
      <c r="D248" s="28">
        <f>1269500+76167+1169647</f>
        <v>2515314</v>
      </c>
      <c r="E248" s="134"/>
    </row>
    <row r="249" spans="2:5" s="23" customFormat="1" ht="18.75" customHeight="1">
      <c r="B249" s="292" t="s">
        <v>146</v>
      </c>
      <c r="C249" s="292"/>
      <c r="D249" s="33">
        <f>SUM(D246:D248)</f>
        <v>35794173</v>
      </c>
      <c r="E249" s="263">
        <f>+D249-34382500</f>
        <v>1411673</v>
      </c>
    </row>
    <row r="250" spans="2:5" s="23" customFormat="1" ht="18.75" customHeight="1">
      <c r="B250" s="49"/>
      <c r="C250" s="21"/>
      <c r="D250" s="22"/>
      <c r="E250" s="134"/>
    </row>
    <row r="251" spans="1:5" s="23" customFormat="1" ht="15">
      <c r="A251" s="19">
        <v>20107</v>
      </c>
      <c r="B251" s="291" t="s">
        <v>147</v>
      </c>
      <c r="C251" s="291"/>
      <c r="D251" s="22"/>
      <c r="E251" s="134"/>
    </row>
    <row r="252" spans="1:5" s="23" customFormat="1" ht="18.75" customHeight="1">
      <c r="A252" s="24">
        <v>2010701</v>
      </c>
      <c r="B252" s="49" t="s">
        <v>89</v>
      </c>
      <c r="C252" s="21"/>
      <c r="D252" s="22"/>
      <c r="E252" s="134"/>
    </row>
    <row r="253" spans="1:5" s="23" customFormat="1" ht="18.75" customHeight="1">
      <c r="A253" s="26">
        <v>201070101</v>
      </c>
      <c r="B253" s="293" t="s">
        <v>148</v>
      </c>
      <c r="C253" s="294"/>
      <c r="D253" s="28">
        <f>12161048</f>
        <v>12161048</v>
      </c>
      <c r="E253" s="134"/>
    </row>
    <row r="254" spans="1:5" s="23" customFormat="1" ht="18.75" customHeight="1">
      <c r="A254" s="30">
        <v>201070102</v>
      </c>
      <c r="B254" s="69" t="s">
        <v>91</v>
      </c>
      <c r="C254" s="70"/>
      <c r="D254" s="28">
        <f>817380</f>
        <v>817380</v>
      </c>
      <c r="E254" s="134"/>
    </row>
    <row r="255" spans="1:5" s="23" customFormat="1" ht="18.75" customHeight="1">
      <c r="A255" s="30">
        <v>201070103</v>
      </c>
      <c r="B255" s="69" t="s">
        <v>92</v>
      </c>
      <c r="C255" s="70"/>
      <c r="D255" s="28">
        <f>392343</f>
        <v>392343</v>
      </c>
      <c r="E255" s="134"/>
    </row>
    <row r="256" spans="2:5" s="23" customFormat="1" ht="18.75" customHeight="1">
      <c r="B256" s="292" t="s">
        <v>149</v>
      </c>
      <c r="C256" s="292"/>
      <c r="D256" s="33">
        <f>SUM(D253:D255)</f>
        <v>13370771</v>
      </c>
      <c r="E256" s="263">
        <f>+D256-13370771</f>
        <v>0</v>
      </c>
    </row>
    <row r="257" spans="2:5" s="23" customFormat="1" ht="18.75" customHeight="1">
      <c r="B257" s="52"/>
      <c r="C257" s="52"/>
      <c r="D257" s="22"/>
      <c r="E257" s="134"/>
    </row>
    <row r="258" spans="1:5" s="23" customFormat="1" ht="18.75" customHeight="1">
      <c r="A258" s="19">
        <v>20108</v>
      </c>
      <c r="B258" s="20" t="s">
        <v>150</v>
      </c>
      <c r="C258" s="21"/>
      <c r="D258" s="22"/>
      <c r="E258" s="134"/>
    </row>
    <row r="259" spans="1:5" s="23" customFormat="1" ht="17.25" customHeight="1">
      <c r="A259" s="24">
        <v>2010801</v>
      </c>
      <c r="B259" s="49" t="s">
        <v>89</v>
      </c>
      <c r="C259" s="21"/>
      <c r="D259" s="22"/>
      <c r="E259" s="134"/>
    </row>
    <row r="260" spans="1:5" s="23" customFormat="1" ht="18.75" customHeight="1">
      <c r="A260" s="26">
        <v>201080101</v>
      </c>
      <c r="B260" s="35" t="s">
        <v>145</v>
      </c>
      <c r="C260" s="36"/>
      <c r="D260" s="28">
        <f>46222776</f>
        <v>46222776</v>
      </c>
      <c r="E260" s="134"/>
    </row>
    <row r="261" spans="1:5" s="23" customFormat="1" ht="15.75" customHeight="1">
      <c r="A261" s="30">
        <v>201080102</v>
      </c>
      <c r="B261" s="35" t="s">
        <v>91</v>
      </c>
      <c r="C261" s="36"/>
      <c r="D261" s="28">
        <f>4012395</f>
        <v>4012395</v>
      </c>
      <c r="E261" s="134"/>
    </row>
    <row r="262" spans="1:5" s="23" customFormat="1" ht="15.75" customHeight="1">
      <c r="A262" s="30">
        <v>201080103</v>
      </c>
      <c r="B262" s="35" t="s">
        <v>141</v>
      </c>
      <c r="C262" s="36"/>
      <c r="D262" s="28">
        <f>1925949</f>
        <v>1925949</v>
      </c>
      <c r="E262" s="134"/>
    </row>
    <row r="263" spans="1:5" s="23" customFormat="1" ht="15.75" customHeight="1">
      <c r="A263" s="30">
        <v>201080104</v>
      </c>
      <c r="B263" s="35" t="s">
        <v>93</v>
      </c>
      <c r="C263" s="36"/>
      <c r="D263" s="28">
        <f>2300000+637990+2126632+1616240+926853+1148381</f>
        <v>8756096</v>
      </c>
      <c r="E263" s="134"/>
    </row>
    <row r="264" spans="1:5" s="23" customFormat="1" ht="15.75" customHeight="1">
      <c r="A264" s="30">
        <v>201080105</v>
      </c>
      <c r="B264" s="35" t="s">
        <v>151</v>
      </c>
      <c r="C264" s="36"/>
      <c r="D264" s="28">
        <v>13000000</v>
      </c>
      <c r="E264" s="134"/>
    </row>
    <row r="265" spans="2:5" s="23" customFormat="1" ht="15.75" customHeight="1">
      <c r="B265" s="49" t="s">
        <v>97</v>
      </c>
      <c r="C265" s="21"/>
      <c r="D265" s="57">
        <f>SUM(D260:D264)</f>
        <v>73917216</v>
      </c>
      <c r="E265" s="263">
        <f>+D265-67461120</f>
        <v>6456096</v>
      </c>
    </row>
    <row r="266" spans="2:5" s="23" customFormat="1" ht="15.75" customHeight="1">
      <c r="B266" s="49"/>
      <c r="C266" s="21"/>
      <c r="D266" s="58"/>
      <c r="E266" s="134"/>
    </row>
    <row r="267" spans="1:5" s="23" customFormat="1" ht="15.75" customHeight="1">
      <c r="A267" s="71">
        <v>2010802</v>
      </c>
      <c r="B267" s="49" t="s">
        <v>98</v>
      </c>
      <c r="C267" s="21"/>
      <c r="D267" s="22"/>
      <c r="E267" s="134"/>
    </row>
    <row r="268" spans="1:5" s="23" customFormat="1" ht="15.75" customHeight="1">
      <c r="A268" s="26">
        <v>201080201</v>
      </c>
      <c r="B268" s="35" t="s">
        <v>152</v>
      </c>
      <c r="C268" s="36"/>
      <c r="D268" s="72">
        <v>37842958</v>
      </c>
      <c r="E268" s="134"/>
    </row>
    <row r="269" spans="1:5" s="23" customFormat="1" ht="15.75" customHeight="1">
      <c r="A269" s="30">
        <v>201080202</v>
      </c>
      <c r="B269" s="35" t="s">
        <v>153</v>
      </c>
      <c r="C269" s="36"/>
      <c r="D269" s="72">
        <v>1</v>
      </c>
      <c r="E269" s="134"/>
    </row>
    <row r="270" spans="1:5" s="23" customFormat="1" ht="15.75" customHeight="1">
      <c r="A270" s="30">
        <v>201080203</v>
      </c>
      <c r="B270" s="35" t="s">
        <v>101</v>
      </c>
      <c r="C270" s="36"/>
      <c r="D270" s="72">
        <v>16000000</v>
      </c>
      <c r="E270" s="134"/>
    </row>
    <row r="271" spans="1:5" s="23" customFormat="1" ht="15.75" customHeight="1">
      <c r="A271" s="30">
        <v>201080204</v>
      </c>
      <c r="B271" s="35" t="s">
        <v>102</v>
      </c>
      <c r="C271" s="36"/>
      <c r="D271" s="72">
        <v>2000000</v>
      </c>
      <c r="E271" s="134"/>
    </row>
    <row r="272" spans="1:5" s="23" customFormat="1" ht="15.75" customHeight="1">
      <c r="A272" s="30">
        <v>201080205</v>
      </c>
      <c r="B272" s="35" t="s">
        <v>103</v>
      </c>
      <c r="C272" s="36"/>
      <c r="D272" s="72">
        <v>4000000</v>
      </c>
      <c r="E272" s="134"/>
    </row>
    <row r="273" spans="1:5" s="23" customFormat="1" ht="15.75" customHeight="1">
      <c r="A273" s="30">
        <v>201080206</v>
      </c>
      <c r="B273" s="35" t="s">
        <v>154</v>
      </c>
      <c r="C273" s="36"/>
      <c r="D273" s="72">
        <v>35000000</v>
      </c>
      <c r="E273" s="134"/>
    </row>
    <row r="274" spans="1:5" s="23" customFormat="1" ht="15.75" customHeight="1">
      <c r="A274" s="30">
        <v>201080207</v>
      </c>
      <c r="B274" s="283" t="s">
        <v>155</v>
      </c>
      <c r="C274" s="284"/>
      <c r="D274" s="72">
        <v>4000000</v>
      </c>
      <c r="E274" s="134"/>
    </row>
    <row r="275" spans="1:5" s="23" customFormat="1" ht="16.5" customHeight="1">
      <c r="A275" s="30">
        <v>201080208</v>
      </c>
      <c r="B275" s="35" t="s">
        <v>156</v>
      </c>
      <c r="C275" s="36"/>
      <c r="D275" s="72">
        <v>1</v>
      </c>
      <c r="E275" s="134"/>
    </row>
    <row r="276" spans="1:5" s="23" customFormat="1" ht="15.75" customHeight="1">
      <c r="A276" s="30">
        <v>201080209</v>
      </c>
      <c r="B276" s="283" t="s">
        <v>157</v>
      </c>
      <c r="C276" s="284"/>
      <c r="D276" s="72">
        <v>1</v>
      </c>
      <c r="E276" s="134"/>
    </row>
    <row r="277" spans="1:5" s="23" customFormat="1" ht="15.75" customHeight="1">
      <c r="A277" s="30">
        <v>201080210</v>
      </c>
      <c r="B277" s="35" t="s">
        <v>158</v>
      </c>
      <c r="C277" s="36"/>
      <c r="D277" s="72">
        <v>2000000</v>
      </c>
      <c r="E277" s="134"/>
    </row>
    <row r="278" spans="1:5" s="23" customFormat="1" ht="15" customHeight="1">
      <c r="A278" s="30">
        <v>201080212</v>
      </c>
      <c r="B278" s="35" t="s">
        <v>123</v>
      </c>
      <c r="C278" s="36"/>
      <c r="D278" s="72">
        <f>36671600+2717827</f>
        <v>39389427</v>
      </c>
      <c r="E278" s="134"/>
    </row>
    <row r="279" spans="1:5" s="23" customFormat="1" ht="15" customHeight="1">
      <c r="A279" s="30">
        <v>201080213</v>
      </c>
      <c r="B279" s="35" t="s">
        <v>159</v>
      </c>
      <c r="C279" s="36"/>
      <c r="D279" s="72">
        <v>566758</v>
      </c>
      <c r="E279" s="134"/>
    </row>
    <row r="280" spans="1:5" s="23" customFormat="1" ht="15" customHeight="1">
      <c r="A280" s="30">
        <v>201080214</v>
      </c>
      <c r="B280" s="35" t="s">
        <v>160</v>
      </c>
      <c r="C280" s="36"/>
      <c r="D280" s="72">
        <v>2300000</v>
      </c>
      <c r="E280" s="134"/>
    </row>
    <row r="281" spans="1:5" s="23" customFormat="1" ht="15">
      <c r="A281" s="30">
        <v>201080215</v>
      </c>
      <c r="B281" s="283" t="s">
        <v>161</v>
      </c>
      <c r="C281" s="284"/>
      <c r="D281" s="72">
        <v>8000000</v>
      </c>
      <c r="E281" s="134"/>
    </row>
    <row r="282" spans="1:5" s="23" customFormat="1" ht="15" customHeight="1">
      <c r="A282" s="30">
        <v>201080216</v>
      </c>
      <c r="B282" s="283" t="s">
        <v>162</v>
      </c>
      <c r="C282" s="284"/>
      <c r="D282" s="72">
        <v>40000000</v>
      </c>
      <c r="E282" s="134"/>
    </row>
    <row r="283" spans="1:5" s="23" customFormat="1" ht="15" customHeight="1">
      <c r="A283" s="30">
        <v>201080217</v>
      </c>
      <c r="B283" s="283" t="s">
        <v>163</v>
      </c>
      <c r="C283" s="284"/>
      <c r="D283" s="72">
        <v>10000000</v>
      </c>
      <c r="E283" s="134"/>
    </row>
    <row r="284" spans="1:5" s="23" customFormat="1" ht="15" customHeight="1">
      <c r="A284" s="30">
        <v>201080218</v>
      </c>
      <c r="B284" s="35" t="s">
        <v>128</v>
      </c>
      <c r="C284" s="36"/>
      <c r="D284" s="28">
        <v>100000000</v>
      </c>
      <c r="E284" s="134"/>
    </row>
    <row r="285" spans="1:5" s="23" customFormat="1" ht="15" customHeight="1">
      <c r="A285" s="30">
        <v>201080219</v>
      </c>
      <c r="B285" s="38" t="s">
        <v>109</v>
      </c>
      <c r="C285" s="39"/>
      <c r="D285" s="72">
        <v>6700000</v>
      </c>
      <c r="E285" s="134"/>
    </row>
    <row r="286" spans="2:5" s="23" customFormat="1" ht="15" customHeight="1">
      <c r="B286" s="49" t="s">
        <v>97</v>
      </c>
      <c r="C286" s="21"/>
      <c r="D286" s="33">
        <f>SUM(D268:D285)</f>
        <v>307799146</v>
      </c>
      <c r="E286" s="263">
        <f>+D286-297081319</f>
        <v>10717827</v>
      </c>
    </row>
    <row r="287" spans="2:6" s="23" customFormat="1" ht="15" customHeight="1">
      <c r="B287" s="292" t="s">
        <v>164</v>
      </c>
      <c r="C287" s="292"/>
      <c r="D287" s="33">
        <f>+D286+D265</f>
        <v>381716362</v>
      </c>
      <c r="E287" s="145">
        <f>+E213+E220+E227+E235+E242+E249+E256+E265+E286</f>
        <v>39946729</v>
      </c>
      <c r="F287" s="23" t="s">
        <v>456</v>
      </c>
    </row>
    <row r="288" spans="2:5" s="23" customFormat="1" ht="15" customHeight="1">
      <c r="B288" s="49"/>
      <c r="C288" s="21"/>
      <c r="D288" s="22"/>
      <c r="E288" s="134"/>
    </row>
    <row r="289" spans="1:5" s="23" customFormat="1" ht="15">
      <c r="A289" s="19">
        <v>2010803</v>
      </c>
      <c r="B289" s="295" t="s">
        <v>165</v>
      </c>
      <c r="C289" s="295"/>
      <c r="D289" s="22"/>
      <c r="E289" s="134"/>
    </row>
    <row r="290" spans="1:5" s="23" customFormat="1" ht="15">
      <c r="A290" s="24"/>
      <c r="B290" s="296"/>
      <c r="C290" s="296"/>
      <c r="D290" s="22"/>
      <c r="E290" s="134"/>
    </row>
    <row r="291" spans="1:5" s="23" customFormat="1" ht="18" customHeight="1">
      <c r="A291" s="26">
        <v>201080301</v>
      </c>
      <c r="B291" s="35" t="s">
        <v>166</v>
      </c>
      <c r="C291" s="36"/>
      <c r="D291" s="28">
        <v>42194520</v>
      </c>
      <c r="E291" s="134"/>
    </row>
    <row r="292" spans="1:5" s="23" customFormat="1" ht="18" customHeight="1">
      <c r="A292" s="30">
        <v>201080302</v>
      </c>
      <c r="B292" s="283" t="s">
        <v>167</v>
      </c>
      <c r="C292" s="284"/>
      <c r="D292" s="28">
        <v>3516210</v>
      </c>
      <c r="E292" s="134"/>
    </row>
    <row r="293" spans="1:5" s="23" customFormat="1" ht="18" customHeight="1">
      <c r="A293" s="30">
        <v>201080303</v>
      </c>
      <c r="B293" s="35" t="s">
        <v>91</v>
      </c>
      <c r="C293" s="36"/>
      <c r="D293" s="28">
        <v>3516210</v>
      </c>
      <c r="E293" s="134"/>
    </row>
    <row r="294" spans="1:5" s="23" customFormat="1" ht="18" customHeight="1">
      <c r="A294" s="30">
        <v>201080304</v>
      </c>
      <c r="B294" s="35" t="s">
        <v>168</v>
      </c>
      <c r="C294" s="36"/>
      <c r="D294" s="28">
        <v>1000000</v>
      </c>
      <c r="E294" s="134"/>
    </row>
    <row r="295" spans="1:5" s="23" customFormat="1" ht="18" customHeight="1">
      <c r="A295" s="30">
        <v>201080305</v>
      </c>
      <c r="B295" s="35" t="s">
        <v>266</v>
      </c>
      <c r="C295" s="36"/>
      <c r="D295" s="28">
        <v>40000000</v>
      </c>
      <c r="E295" s="134"/>
    </row>
    <row r="296" spans="1:5" s="23" customFormat="1" ht="18" customHeight="1">
      <c r="A296" s="30">
        <v>201080306</v>
      </c>
      <c r="B296" s="35" t="s">
        <v>169</v>
      </c>
      <c r="C296" s="36"/>
      <c r="D296" s="28">
        <v>20000000</v>
      </c>
      <c r="E296" s="134"/>
    </row>
    <row r="297" spans="1:5" s="23" customFormat="1" ht="15.75" customHeight="1">
      <c r="A297" s="19"/>
      <c r="B297" s="32"/>
      <c r="C297" s="48"/>
      <c r="D297" s="25"/>
      <c r="E297" s="134"/>
    </row>
    <row r="298" spans="2:5" s="23" customFormat="1" ht="15.75" customHeight="1">
      <c r="B298" s="49" t="s">
        <v>97</v>
      </c>
      <c r="C298" s="21"/>
      <c r="D298" s="33">
        <f>SUM(D291:D296)</f>
        <v>110226940</v>
      </c>
      <c r="E298" s="134"/>
    </row>
    <row r="299" spans="2:5" s="23" customFormat="1" ht="18.75" customHeight="1">
      <c r="B299" s="49"/>
      <c r="C299" s="21"/>
      <c r="D299" s="33"/>
      <c r="E299" s="134"/>
    </row>
    <row r="300" spans="1:5" s="23" customFormat="1" ht="17.25" customHeight="1">
      <c r="A300" s="19">
        <v>20109</v>
      </c>
      <c r="B300" s="20" t="s">
        <v>170</v>
      </c>
      <c r="C300" s="21"/>
      <c r="D300" s="22"/>
      <c r="E300" s="134"/>
    </row>
    <row r="301" spans="1:5" s="23" customFormat="1" ht="18.75" customHeight="1">
      <c r="A301" s="24">
        <v>2010901</v>
      </c>
      <c r="B301" s="49" t="s">
        <v>89</v>
      </c>
      <c r="C301" s="21"/>
      <c r="D301" s="22"/>
      <c r="E301" s="134"/>
    </row>
    <row r="302" spans="1:5" s="23" customFormat="1" ht="15.75" customHeight="1">
      <c r="A302" s="26">
        <v>201090101</v>
      </c>
      <c r="B302" s="35" t="s">
        <v>145</v>
      </c>
      <c r="C302" s="36"/>
      <c r="D302" s="28">
        <v>58438408</v>
      </c>
      <c r="E302" s="134"/>
    </row>
    <row r="303" spans="1:5" s="23" customFormat="1" ht="15.75" customHeight="1">
      <c r="A303" s="26">
        <v>201090102</v>
      </c>
      <c r="B303" s="35" t="s">
        <v>91</v>
      </c>
      <c r="C303" s="36"/>
      <c r="D303" s="28">
        <v>5072779</v>
      </c>
      <c r="E303" s="134"/>
    </row>
    <row r="304" spans="1:5" s="23" customFormat="1" ht="15.75" customHeight="1">
      <c r="A304" s="26">
        <v>201090103</v>
      </c>
      <c r="B304" s="35" t="s">
        <v>96</v>
      </c>
      <c r="C304" s="36"/>
      <c r="D304" s="28">
        <v>5495510</v>
      </c>
      <c r="E304" s="134"/>
    </row>
    <row r="305" spans="1:5" s="23" customFormat="1" ht="15.75" customHeight="1">
      <c r="A305" s="26">
        <v>201090104</v>
      </c>
      <c r="B305" s="35" t="s">
        <v>171</v>
      </c>
      <c r="C305" s="36"/>
      <c r="D305" s="28">
        <v>659462</v>
      </c>
      <c r="E305" s="134"/>
    </row>
    <row r="306" spans="1:5" s="23" customFormat="1" ht="15.75" customHeight="1">
      <c r="A306" s="26">
        <v>201090105</v>
      </c>
      <c r="B306" s="35" t="s">
        <v>141</v>
      </c>
      <c r="C306" s="36"/>
      <c r="D306" s="28">
        <f>2434934+688118+683363+146094+1055502</f>
        <v>5008011</v>
      </c>
      <c r="E306" s="134"/>
    </row>
    <row r="307" spans="2:5" s="23" customFormat="1" ht="15.75" customHeight="1">
      <c r="B307" s="49" t="s">
        <v>97</v>
      </c>
      <c r="C307" s="21"/>
      <c r="D307" s="57">
        <f>SUM(D302:D306)</f>
        <v>74674170</v>
      </c>
      <c r="E307" s="263">
        <f>+D144-D320</f>
        <v>0</v>
      </c>
    </row>
    <row r="308" spans="2:5" s="23" customFormat="1" ht="17.25" customHeight="1">
      <c r="B308" s="49"/>
      <c r="C308" s="21"/>
      <c r="D308" s="33"/>
      <c r="E308" s="134"/>
    </row>
    <row r="309" spans="1:5" s="23" customFormat="1" ht="17.25" customHeight="1">
      <c r="A309" s="23">
        <v>2010902</v>
      </c>
      <c r="B309" s="49" t="s">
        <v>118</v>
      </c>
      <c r="C309" s="21"/>
      <c r="D309" s="22"/>
      <c r="E309" s="134"/>
    </row>
    <row r="310" spans="1:5" s="23" customFormat="1" ht="19.5" customHeight="1">
      <c r="A310" s="30">
        <v>201090201</v>
      </c>
      <c r="B310" s="35" t="s">
        <v>120</v>
      </c>
      <c r="C310" s="36"/>
      <c r="D310" s="28">
        <v>500000</v>
      </c>
      <c r="E310" s="134"/>
    </row>
    <row r="311" spans="1:5" s="23" customFormat="1" ht="18" customHeight="1">
      <c r="A311" s="30">
        <v>201090202</v>
      </c>
      <c r="B311" s="35" t="s">
        <v>122</v>
      </c>
      <c r="C311" s="36"/>
      <c r="D311" s="28">
        <v>500000</v>
      </c>
      <c r="E311" s="134"/>
    </row>
    <row r="312" spans="1:5" s="23" customFormat="1" ht="18" customHeight="1">
      <c r="A312" s="30">
        <v>201090203</v>
      </c>
      <c r="B312" s="288" t="s">
        <v>124</v>
      </c>
      <c r="C312" s="289"/>
      <c r="D312" s="28">
        <v>500000</v>
      </c>
      <c r="E312" s="134"/>
    </row>
    <row r="313" spans="1:5" s="23" customFormat="1" ht="17.25" customHeight="1">
      <c r="A313" s="30">
        <v>201090204</v>
      </c>
      <c r="B313" s="283" t="s">
        <v>125</v>
      </c>
      <c r="C313" s="284"/>
      <c r="D313" s="28">
        <v>1</v>
      </c>
      <c r="E313" s="134"/>
    </row>
    <row r="314" spans="2:5" s="23" customFormat="1" ht="15" customHeight="1">
      <c r="B314" s="49" t="s">
        <v>97</v>
      </c>
      <c r="C314" s="21"/>
      <c r="D314" s="57">
        <f>SUM(D310:D313)</f>
        <v>1500001</v>
      </c>
      <c r="E314" s="134"/>
    </row>
    <row r="315" spans="2:5" s="23" customFormat="1" ht="17.25" customHeight="1">
      <c r="B315" s="49"/>
      <c r="C315" s="21"/>
      <c r="D315" s="58"/>
      <c r="E315" s="134"/>
    </row>
    <row r="316" spans="1:5" s="23" customFormat="1" ht="15" customHeight="1">
      <c r="A316" s="24">
        <v>2010903</v>
      </c>
      <c r="B316" s="49" t="s">
        <v>110</v>
      </c>
      <c r="C316" s="21"/>
      <c r="D316" s="22"/>
      <c r="E316" s="134"/>
    </row>
    <row r="317" spans="1:5" s="23" customFormat="1" ht="19.5" customHeight="1">
      <c r="A317" s="26">
        <v>201090301</v>
      </c>
      <c r="B317" s="283" t="s">
        <v>111</v>
      </c>
      <c r="C317" s="284"/>
      <c r="D317" s="28">
        <v>11554443</v>
      </c>
      <c r="E317" s="134"/>
    </row>
    <row r="318" spans="1:5" s="23" customFormat="1" ht="18.75" customHeight="1">
      <c r="A318" s="30">
        <v>201090302</v>
      </c>
      <c r="B318" s="283" t="s">
        <v>112</v>
      </c>
      <c r="C318" s="284"/>
      <c r="D318" s="28">
        <v>5799457</v>
      </c>
      <c r="E318" s="134"/>
    </row>
    <row r="319" spans="2:5" s="23" customFormat="1" ht="15.75" customHeight="1">
      <c r="B319" s="66" t="s">
        <v>97</v>
      </c>
      <c r="C319" s="67"/>
      <c r="D319" s="68">
        <f>SUM(D317:D318)</f>
        <v>17353900</v>
      </c>
      <c r="E319" s="134"/>
    </row>
    <row r="320" spans="2:5" s="23" customFormat="1" ht="16.5" customHeight="1">
      <c r="B320" s="66" t="s">
        <v>172</v>
      </c>
      <c r="C320" s="21"/>
      <c r="D320" s="33">
        <f>+D319+D314+D307</f>
        <v>93528071</v>
      </c>
      <c r="E320" s="134">
        <f>+D320-D144</f>
        <v>0</v>
      </c>
    </row>
    <row r="321" spans="2:5" s="23" customFormat="1" ht="14.25" customHeight="1">
      <c r="B321" s="49"/>
      <c r="C321" s="21"/>
      <c r="D321" s="33"/>
      <c r="E321" s="134"/>
    </row>
    <row r="322" spans="2:5" s="23" customFormat="1" ht="14.25" customHeight="1">
      <c r="B322" s="292" t="s">
        <v>173</v>
      </c>
      <c r="C322" s="292"/>
      <c r="D322" s="33">
        <f>SUM(D298+D287+D256+D249+D242+D235+D228+D213+D184+D320)</f>
        <v>1110633889</v>
      </c>
      <c r="E322" s="134"/>
    </row>
    <row r="323" spans="2:5" s="23" customFormat="1" ht="15">
      <c r="B323" s="74"/>
      <c r="C323" s="75"/>
      <c r="D323" s="76"/>
      <c r="E323" s="134"/>
    </row>
    <row r="324" spans="1:5" s="23" customFormat="1" ht="15.75" customHeight="1">
      <c r="A324" s="19">
        <v>202</v>
      </c>
      <c r="B324" s="77" t="s">
        <v>174</v>
      </c>
      <c r="C324" s="74"/>
      <c r="D324" s="76"/>
      <c r="E324" s="134"/>
    </row>
    <row r="325" spans="1:5" s="23" customFormat="1" ht="15.75">
      <c r="A325" s="19"/>
      <c r="B325" s="78" t="s">
        <v>175</v>
      </c>
      <c r="C325" s="74"/>
      <c r="D325" s="76"/>
      <c r="E325" s="134"/>
    </row>
    <row r="326" spans="1:5" s="23" customFormat="1" ht="15.75">
      <c r="A326" s="19">
        <v>20201</v>
      </c>
      <c r="B326" s="79" t="s">
        <v>176</v>
      </c>
      <c r="C326" s="74"/>
      <c r="D326" s="76"/>
      <c r="E326" s="134"/>
    </row>
    <row r="327" spans="1:5" s="23" customFormat="1" ht="15.75">
      <c r="A327" s="19">
        <v>2020101</v>
      </c>
      <c r="B327" s="80" t="s">
        <v>177</v>
      </c>
      <c r="C327" s="81"/>
      <c r="D327" s="267">
        <f>+D334</f>
        <v>174263828</v>
      </c>
      <c r="E327" s="134"/>
    </row>
    <row r="328" spans="1:5" s="23" customFormat="1" ht="19.5" customHeight="1">
      <c r="A328" s="24"/>
      <c r="B328" s="81"/>
      <c r="C328" s="81"/>
      <c r="D328" s="76"/>
      <c r="E328" s="134"/>
    </row>
    <row r="329" spans="1:5" s="23" customFormat="1" ht="18" customHeight="1">
      <c r="A329" s="26">
        <v>202010101</v>
      </c>
      <c r="B329" s="82" t="s">
        <v>178</v>
      </c>
      <c r="C329" s="36"/>
      <c r="D329" s="83">
        <f>85450000+10000000</f>
        <v>95450000</v>
      </c>
      <c r="E329" s="134"/>
    </row>
    <row r="330" spans="1:5" s="23" customFormat="1" ht="18.75" customHeight="1">
      <c r="A330" s="30">
        <v>202010102</v>
      </c>
      <c r="B330" s="297" t="s">
        <v>179</v>
      </c>
      <c r="C330" s="280"/>
      <c r="D330" s="83">
        <f>47750000+10000000-7008267</f>
        <v>50741733</v>
      </c>
      <c r="E330" s="134"/>
    </row>
    <row r="331" spans="1:5" s="23" customFormat="1" ht="15">
      <c r="A331" s="30">
        <v>202010103</v>
      </c>
      <c r="B331" s="297" t="s">
        <v>327</v>
      </c>
      <c r="C331" s="280"/>
      <c r="D331" s="83">
        <f>6159000+6281095</f>
        <v>12440095</v>
      </c>
      <c r="E331" s="134"/>
    </row>
    <row r="332" spans="1:5" s="23" customFormat="1" ht="21.75" customHeight="1">
      <c r="A332" s="30">
        <v>202010104</v>
      </c>
      <c r="B332" s="297" t="s">
        <v>328</v>
      </c>
      <c r="C332" s="280"/>
      <c r="D332" s="83">
        <f>6632000+9000000</f>
        <v>15632000</v>
      </c>
      <c r="E332" s="134"/>
    </row>
    <row r="333" spans="2:5" s="23" customFormat="1" ht="2.25" customHeight="1">
      <c r="B333" s="85" t="s">
        <v>180</v>
      </c>
      <c r="C333" s="86"/>
      <c r="D333" s="33">
        <f>SUM(D329:D332)</f>
        <v>174263828</v>
      </c>
      <c r="E333" s="134"/>
    </row>
    <row r="334" spans="2:5" s="23" customFormat="1" ht="18" customHeight="1">
      <c r="B334" s="85" t="s">
        <v>180</v>
      </c>
      <c r="C334" s="21"/>
      <c r="D334" s="33">
        <f>SUM(D329:D332)</f>
        <v>174263828</v>
      </c>
      <c r="E334" s="134"/>
    </row>
    <row r="335" spans="2:5" s="23" customFormat="1" ht="18" customHeight="1">
      <c r="B335" s="85"/>
      <c r="C335" s="21"/>
      <c r="D335" s="22"/>
      <c r="E335" s="134"/>
    </row>
    <row r="336" spans="1:5" s="23" customFormat="1" ht="14.25" customHeight="1">
      <c r="A336" s="19">
        <v>2020102</v>
      </c>
      <c r="B336" s="87" t="s">
        <v>181</v>
      </c>
      <c r="C336" s="40"/>
      <c r="D336" s="88">
        <f>+D341</f>
        <v>1128588980</v>
      </c>
      <c r="E336" s="134"/>
    </row>
    <row r="337" spans="2:5" s="23" customFormat="1" ht="18" customHeight="1">
      <c r="B337" s="32"/>
      <c r="C337" s="21"/>
      <c r="D337" s="76"/>
      <c r="E337" s="134"/>
    </row>
    <row r="338" spans="1:5" s="23" customFormat="1" ht="18.75" customHeight="1">
      <c r="A338" s="30">
        <v>202010201</v>
      </c>
      <c r="B338" s="305" t="s">
        <v>182</v>
      </c>
      <c r="C338" s="307"/>
      <c r="D338" s="89">
        <f>96399000+5184629</f>
        <v>101583629</v>
      </c>
      <c r="E338" s="134"/>
    </row>
    <row r="339" spans="1:5" s="23" customFormat="1" ht="19.5" customHeight="1">
      <c r="A339" s="30">
        <v>202010202</v>
      </c>
      <c r="B339" s="305" t="s">
        <v>183</v>
      </c>
      <c r="C339" s="307"/>
      <c r="D339" s="89">
        <f>965443000+41728579</f>
        <v>1007171579</v>
      </c>
      <c r="E339" s="134"/>
    </row>
    <row r="340" spans="1:5" s="23" customFormat="1" ht="18.75" customHeight="1">
      <c r="A340" s="30">
        <v>202010203</v>
      </c>
      <c r="B340" s="90" t="s">
        <v>184</v>
      </c>
      <c r="C340" s="91"/>
      <c r="D340" s="89">
        <f>757000+19076772</f>
        <v>19833772</v>
      </c>
      <c r="E340" s="134"/>
    </row>
    <row r="341" spans="2:5" s="23" customFormat="1" ht="18.75" customHeight="1">
      <c r="B341" s="85" t="s">
        <v>180</v>
      </c>
      <c r="C341" s="86"/>
      <c r="D341" s="92">
        <f>D338+D339+D340</f>
        <v>1128588980</v>
      </c>
      <c r="E341" s="134"/>
    </row>
    <row r="342" spans="2:5" s="23" customFormat="1" ht="18.75" customHeight="1">
      <c r="B342" s="48"/>
      <c r="C342" s="21"/>
      <c r="D342" s="93"/>
      <c r="E342" s="134"/>
    </row>
    <row r="343" spans="1:5" s="23" customFormat="1" ht="15">
      <c r="A343" s="24">
        <v>2020103</v>
      </c>
      <c r="B343" s="295" t="s">
        <v>185</v>
      </c>
      <c r="C343" s="295"/>
      <c r="D343" s="94">
        <f>+D357</f>
        <v>365099341</v>
      </c>
      <c r="E343" s="134"/>
    </row>
    <row r="344" spans="1:5" s="23" customFormat="1" ht="15">
      <c r="A344" s="26">
        <v>202010301</v>
      </c>
      <c r="B344" s="305" t="s">
        <v>186</v>
      </c>
      <c r="C344" s="307"/>
      <c r="D344" s="95">
        <v>1000</v>
      </c>
      <c r="E344" s="134"/>
    </row>
    <row r="345" spans="1:5" s="23" customFormat="1" ht="15">
      <c r="A345" s="30">
        <v>202010302</v>
      </c>
      <c r="B345" s="305" t="s">
        <v>187</v>
      </c>
      <c r="C345" s="307"/>
      <c r="D345" s="95">
        <f>65200000-25200000</f>
        <v>40000000</v>
      </c>
      <c r="E345" s="134"/>
    </row>
    <row r="346" spans="1:5" s="23" customFormat="1" ht="15">
      <c r="A346" s="30">
        <v>202010303</v>
      </c>
      <c r="B346" s="308" t="s">
        <v>188</v>
      </c>
      <c r="C346" s="309"/>
      <c r="D346" s="95">
        <f>141348937-46348937-26666560</f>
        <v>68333440</v>
      </c>
      <c r="E346" s="134"/>
    </row>
    <row r="347" spans="1:5" s="23" customFormat="1" ht="15">
      <c r="A347" s="30">
        <v>202010304</v>
      </c>
      <c r="B347" s="310" t="s">
        <v>189</v>
      </c>
      <c r="C347" s="311"/>
      <c r="D347" s="95">
        <v>20000000</v>
      </c>
      <c r="E347" s="134"/>
    </row>
    <row r="348" spans="1:5" s="23" customFormat="1" ht="18" customHeight="1">
      <c r="A348" s="30">
        <v>202010305</v>
      </c>
      <c r="B348" s="288" t="s">
        <v>190</v>
      </c>
      <c r="C348" s="289"/>
      <c r="D348" s="95">
        <f>45000000-15000000</f>
        <v>30000000</v>
      </c>
      <c r="E348" s="134"/>
    </row>
    <row r="349" spans="1:5" s="23" customFormat="1" ht="15">
      <c r="A349" s="30">
        <v>202010306</v>
      </c>
      <c r="B349" s="288" t="s">
        <v>191</v>
      </c>
      <c r="C349" s="289"/>
      <c r="D349" s="95">
        <f>12000000-2000000</f>
        <v>10000000</v>
      </c>
      <c r="E349" s="134"/>
    </row>
    <row r="350" spans="1:5" s="23" customFormat="1" ht="15">
      <c r="A350" s="30">
        <v>202010307</v>
      </c>
      <c r="B350" s="310" t="s">
        <v>192</v>
      </c>
      <c r="C350" s="311"/>
      <c r="D350" s="95">
        <f>35500000-5500000</f>
        <v>30000000</v>
      </c>
      <c r="E350" s="134"/>
    </row>
    <row r="351" spans="1:5" s="23" customFormat="1" ht="15">
      <c r="A351" s="30">
        <v>202010308</v>
      </c>
      <c r="B351" s="310" t="s">
        <v>276</v>
      </c>
      <c r="C351" s="311"/>
      <c r="D351" s="95">
        <f>80500000</f>
        <v>80500000</v>
      </c>
      <c r="E351" s="134"/>
    </row>
    <row r="352" spans="1:5" s="23" customFormat="1" ht="15">
      <c r="A352" s="30">
        <v>202010309</v>
      </c>
      <c r="B352" s="310" t="s">
        <v>479</v>
      </c>
      <c r="C352" s="311"/>
      <c r="D352" s="95">
        <v>54764901</v>
      </c>
      <c r="E352" s="134"/>
    </row>
    <row r="353" spans="1:5" s="23" customFormat="1" ht="15">
      <c r="A353" s="30">
        <v>202010310</v>
      </c>
      <c r="B353" s="312" t="s">
        <v>193</v>
      </c>
      <c r="C353" s="313"/>
      <c r="D353" s="95">
        <f>15000000-3500000</f>
        <v>11500000</v>
      </c>
      <c r="E353" s="134"/>
    </row>
    <row r="354" spans="1:5" s="23" customFormat="1" ht="15">
      <c r="A354" s="30">
        <v>202010312</v>
      </c>
      <c r="B354" s="310" t="s">
        <v>270</v>
      </c>
      <c r="C354" s="311"/>
      <c r="D354" s="95">
        <v>0</v>
      </c>
      <c r="E354" s="134"/>
    </row>
    <row r="355" spans="1:5" s="23" customFormat="1" ht="15">
      <c r="A355" s="30">
        <v>202010313</v>
      </c>
      <c r="B355" s="98" t="s">
        <v>194</v>
      </c>
      <c r="C355" s="97"/>
      <c r="D355" s="95">
        <v>0</v>
      </c>
      <c r="E355" s="134"/>
    </row>
    <row r="356" spans="1:5" s="23" customFormat="1" ht="15">
      <c r="A356" s="30">
        <v>202010314</v>
      </c>
      <c r="B356" s="314" t="s">
        <v>279</v>
      </c>
      <c r="C356" s="315"/>
      <c r="D356" s="95">
        <v>20000000</v>
      </c>
      <c r="E356" s="134"/>
    </row>
    <row r="357" spans="2:5" s="23" customFormat="1" ht="15.75">
      <c r="B357" s="85" t="s">
        <v>180</v>
      </c>
      <c r="C357" s="21"/>
      <c r="D357" s="33">
        <f>SUM(D344:D356)</f>
        <v>365099341</v>
      </c>
      <c r="E357" s="134">
        <f>+D357-365099341</f>
        <v>0</v>
      </c>
    </row>
    <row r="358" spans="2:5" s="23" customFormat="1" ht="15.75">
      <c r="B358" s="48"/>
      <c r="C358" s="21"/>
      <c r="D358" s="33"/>
      <c r="E358" s="134">
        <f>365099341*15%</f>
        <v>54764901.15</v>
      </c>
    </row>
    <row r="359" spans="1:5" s="23" customFormat="1" ht="15">
      <c r="A359" s="19">
        <v>2020104</v>
      </c>
      <c r="B359" s="295" t="s">
        <v>195</v>
      </c>
      <c r="C359" s="295"/>
      <c r="D359" s="94">
        <f>D360+D368</f>
        <v>68071666</v>
      </c>
      <c r="E359" s="144" t="s">
        <v>319</v>
      </c>
    </row>
    <row r="360" spans="1:5" s="23" customFormat="1" ht="18" customHeight="1">
      <c r="A360" s="19">
        <v>202010401</v>
      </c>
      <c r="B360" s="73" t="s">
        <v>196</v>
      </c>
      <c r="C360" s="73"/>
      <c r="D360" s="94">
        <f>+D366</f>
        <v>22071666</v>
      </c>
      <c r="E360" s="143">
        <v>2000000</v>
      </c>
    </row>
    <row r="361" spans="1:6" s="23" customFormat="1" ht="18" customHeight="1">
      <c r="A361" s="30">
        <v>20201040101</v>
      </c>
      <c r="B361" s="310" t="s">
        <v>197</v>
      </c>
      <c r="C361" s="311"/>
      <c r="D361" s="95">
        <f>10000000-7000000+2000000</f>
        <v>5000000</v>
      </c>
      <c r="E361" s="134"/>
      <c r="F361" s="145"/>
    </row>
    <row r="362" spans="1:5" s="23" customFormat="1" ht="18" customHeight="1">
      <c r="A362" s="30">
        <v>20201040102</v>
      </c>
      <c r="B362" s="96" t="s">
        <v>198</v>
      </c>
      <c r="C362" s="97"/>
      <c r="D362" s="95">
        <f>2580000-1000000</f>
        <v>1580000</v>
      </c>
      <c r="E362" s="143">
        <v>4000000</v>
      </c>
    </row>
    <row r="363" spans="1:5" s="23" customFormat="1" ht="18.75" customHeight="1">
      <c r="A363" s="30">
        <v>20201040103</v>
      </c>
      <c r="B363" s="310" t="s">
        <v>199</v>
      </c>
      <c r="C363" s="311"/>
      <c r="D363" s="95">
        <f>19397386-15000000+4000000</f>
        <v>8397386</v>
      </c>
      <c r="E363" s="134"/>
    </row>
    <row r="364" spans="1:5" s="23" customFormat="1" ht="17.25" customHeight="1">
      <c r="A364" s="30">
        <v>20201040104</v>
      </c>
      <c r="B364" s="312" t="s">
        <v>200</v>
      </c>
      <c r="C364" s="313"/>
      <c r="D364" s="95">
        <v>1530000</v>
      </c>
      <c r="E364" s="143">
        <v>3000000</v>
      </c>
    </row>
    <row r="365" spans="1:5" s="23" customFormat="1" ht="17.25" customHeight="1">
      <c r="A365" s="30">
        <v>20201040105</v>
      </c>
      <c r="B365" s="310" t="s">
        <v>201</v>
      </c>
      <c r="C365" s="311"/>
      <c r="D365" s="95">
        <f>3119282-556052+3000000+1050</f>
        <v>5564280</v>
      </c>
      <c r="E365" s="134"/>
    </row>
    <row r="366" spans="2:5" s="23" customFormat="1" ht="17.25" customHeight="1">
      <c r="B366" s="85" t="s">
        <v>180</v>
      </c>
      <c r="C366" s="99"/>
      <c r="D366" s="33">
        <f>SUM(D361:D365)</f>
        <v>22071666</v>
      </c>
      <c r="E366" s="134"/>
    </row>
    <row r="367" spans="2:5" s="23" customFormat="1" ht="15">
      <c r="B367" s="100"/>
      <c r="C367" s="100"/>
      <c r="D367" s="76"/>
      <c r="E367" s="134"/>
    </row>
    <row r="368" spans="1:5" s="23" customFormat="1" ht="18.75" customHeight="1">
      <c r="A368" s="24">
        <v>202010402</v>
      </c>
      <c r="B368" s="101" t="s">
        <v>202</v>
      </c>
      <c r="C368" s="100"/>
      <c r="D368" s="94">
        <f>+D375</f>
        <v>46000000</v>
      </c>
      <c r="E368" s="143">
        <f>+D369</f>
        <v>2000000</v>
      </c>
    </row>
    <row r="369" spans="1:5" s="23" customFormat="1" ht="18.75" customHeight="1">
      <c r="A369" s="26">
        <v>20201040201</v>
      </c>
      <c r="B369" s="288" t="s">
        <v>203</v>
      </c>
      <c r="C369" s="289"/>
      <c r="D369" s="89">
        <v>2000000</v>
      </c>
      <c r="E369" s="143">
        <f>+D370</f>
        <v>2000000</v>
      </c>
    </row>
    <row r="370" spans="1:5" s="23" customFormat="1" ht="20.25" customHeight="1">
      <c r="A370" s="30">
        <v>20201040202</v>
      </c>
      <c r="B370" s="283" t="s">
        <v>204</v>
      </c>
      <c r="C370" s="284"/>
      <c r="D370" s="89">
        <v>2000000</v>
      </c>
      <c r="E370" s="143">
        <f>+D371</f>
        <v>2000000</v>
      </c>
    </row>
    <row r="371" spans="1:5" s="23" customFormat="1" ht="20.25" customHeight="1">
      <c r="A371" s="30">
        <v>20201040203</v>
      </c>
      <c r="B371" s="283" t="s">
        <v>205</v>
      </c>
      <c r="C371" s="284"/>
      <c r="D371" s="89">
        <v>2000000</v>
      </c>
      <c r="E371" s="143">
        <v>12571112</v>
      </c>
    </row>
    <row r="372" spans="1:5" s="23" customFormat="1" ht="18.75" customHeight="1">
      <c r="A372" s="30">
        <v>20201040204</v>
      </c>
      <c r="B372" s="288" t="s">
        <v>206</v>
      </c>
      <c r="C372" s="289"/>
      <c r="D372" s="89">
        <f>2150000+20000000-2150000+10000000-3000000</f>
        <v>27000000</v>
      </c>
      <c r="E372" s="143">
        <v>2000000</v>
      </c>
    </row>
    <row r="373" spans="1:5" s="23" customFormat="1" ht="21" customHeight="1">
      <c r="A373" s="30">
        <v>20201040205</v>
      </c>
      <c r="B373" s="310" t="s">
        <v>207</v>
      </c>
      <c r="C373" s="311"/>
      <c r="D373" s="89">
        <v>5000000</v>
      </c>
      <c r="E373" s="143">
        <v>5000000</v>
      </c>
    </row>
    <row r="374" spans="1:5" s="23" customFormat="1" ht="15" customHeight="1">
      <c r="A374" s="30">
        <v>20201040206</v>
      </c>
      <c r="B374" s="310" t="s">
        <v>208</v>
      </c>
      <c r="C374" s="311"/>
      <c r="D374" s="72">
        <f>5000000+3000000</f>
        <v>8000000</v>
      </c>
      <c r="E374" s="276">
        <v>3000000</v>
      </c>
    </row>
    <row r="375" spans="2:5" s="23" customFormat="1" ht="15" customHeight="1">
      <c r="B375" s="85" t="s">
        <v>180</v>
      </c>
      <c r="C375" s="86"/>
      <c r="D375" s="92">
        <f>SUM(D369:D374)</f>
        <v>46000000</v>
      </c>
      <c r="E375" s="134">
        <f>SUM(E360:E374)</f>
        <v>37571112</v>
      </c>
    </row>
    <row r="376" spans="2:5" s="23" customFormat="1" ht="15" customHeight="1">
      <c r="B376" s="85"/>
      <c r="C376" s="86"/>
      <c r="D376" s="93"/>
      <c r="E376" s="134"/>
    </row>
    <row r="377" spans="1:5" s="23" customFormat="1" ht="15" customHeight="1">
      <c r="A377" s="19">
        <v>2020105</v>
      </c>
      <c r="B377" s="40" t="s">
        <v>209</v>
      </c>
      <c r="C377" s="81"/>
      <c r="D377" s="102">
        <f>+D397+D399</f>
        <v>569111520</v>
      </c>
      <c r="E377" s="134"/>
    </row>
    <row r="378" spans="1:5" s="23" customFormat="1" ht="16.5" customHeight="1">
      <c r="A378" s="24"/>
      <c r="B378" s="40"/>
      <c r="C378" s="40"/>
      <c r="D378" s="103"/>
      <c r="E378" s="134"/>
    </row>
    <row r="379" spans="1:5" s="23" customFormat="1" ht="18.75" customHeight="1">
      <c r="A379" s="26">
        <v>202010501</v>
      </c>
      <c r="B379" s="312" t="s">
        <v>210</v>
      </c>
      <c r="C379" s="316"/>
      <c r="D379" s="89">
        <v>6060000</v>
      </c>
      <c r="E379" s="134"/>
    </row>
    <row r="380" spans="1:5" s="23" customFormat="1" ht="19.5" customHeight="1">
      <c r="A380" s="30">
        <v>202010502</v>
      </c>
      <c r="B380" s="310" t="s">
        <v>211</v>
      </c>
      <c r="C380" s="317"/>
      <c r="D380" s="89">
        <f>2200000+2500000</f>
        <v>4700000</v>
      </c>
      <c r="E380" s="134"/>
    </row>
    <row r="381" spans="1:5" s="23" customFormat="1" ht="18.75" customHeight="1">
      <c r="A381" s="30">
        <v>202010503</v>
      </c>
      <c r="B381" s="96" t="s">
        <v>212</v>
      </c>
      <c r="C381" s="104"/>
      <c r="D381" s="89">
        <v>6700000</v>
      </c>
      <c r="E381" s="134"/>
    </row>
    <row r="382" spans="1:5" s="23" customFormat="1" ht="18.75" customHeight="1">
      <c r="A382" s="30">
        <v>202010504</v>
      </c>
      <c r="B382" s="305" t="s">
        <v>330</v>
      </c>
      <c r="C382" s="318"/>
      <c r="D382" s="89">
        <v>22170984</v>
      </c>
      <c r="E382" s="134"/>
    </row>
    <row r="383" spans="1:5" s="23" customFormat="1" ht="18.75" customHeight="1">
      <c r="A383" s="30">
        <v>202010505</v>
      </c>
      <c r="B383" s="310" t="s">
        <v>329</v>
      </c>
      <c r="C383" s="317"/>
      <c r="D383" s="89">
        <f>8138168+4000000+5000000+5000000+6700000+5553188</f>
        <v>34391356</v>
      </c>
      <c r="E383" s="134"/>
    </row>
    <row r="384" spans="1:5" s="23" customFormat="1" ht="15" customHeight="1">
      <c r="A384" s="30">
        <v>202010506</v>
      </c>
      <c r="B384" s="310" t="s">
        <v>213</v>
      </c>
      <c r="C384" s="317"/>
      <c r="D384" s="89">
        <f>5000000</f>
        <v>5000000</v>
      </c>
      <c r="E384" s="134"/>
    </row>
    <row r="385" spans="1:5" s="23" customFormat="1" ht="15">
      <c r="A385" s="30">
        <v>202010507</v>
      </c>
      <c r="B385" s="310" t="s">
        <v>214</v>
      </c>
      <c r="C385" s="317"/>
      <c r="D385" s="89">
        <f>6500000+2000000+1000000+8599341</f>
        <v>18099341</v>
      </c>
      <c r="E385" s="134"/>
    </row>
    <row r="386" spans="1:5" s="23" customFormat="1" ht="18.75" customHeight="1">
      <c r="A386" s="30">
        <v>202010508</v>
      </c>
      <c r="B386" s="96" t="s">
        <v>215</v>
      </c>
      <c r="C386" s="104"/>
      <c r="D386" s="89">
        <f>3000000+3000000</f>
        <v>6000000</v>
      </c>
      <c r="E386" s="134"/>
    </row>
    <row r="387" spans="1:5" s="23" customFormat="1" ht="18" customHeight="1">
      <c r="A387" s="30">
        <v>202010509</v>
      </c>
      <c r="B387" s="310" t="s">
        <v>216</v>
      </c>
      <c r="C387" s="317"/>
      <c r="D387" s="89">
        <f>8800000+26200000-6700000</f>
        <v>28300000</v>
      </c>
      <c r="E387" s="134"/>
    </row>
    <row r="388" spans="1:5" s="23" customFormat="1" ht="18" customHeight="1">
      <c r="A388" s="30">
        <v>202010510</v>
      </c>
      <c r="B388" s="41" t="s">
        <v>217</v>
      </c>
      <c r="C388" s="81"/>
      <c r="D388" s="89">
        <v>37643492</v>
      </c>
      <c r="E388" s="134"/>
    </row>
    <row r="389" spans="1:5" s="23" customFormat="1" ht="18.75" customHeight="1">
      <c r="A389" s="30">
        <v>202010511</v>
      </c>
      <c r="B389" s="305" t="s">
        <v>271</v>
      </c>
      <c r="C389" s="318"/>
      <c r="D389" s="89">
        <f>6000000-2000000+3000000</f>
        <v>7000000</v>
      </c>
      <c r="E389" s="134"/>
    </row>
    <row r="390" spans="1:5" s="23" customFormat="1" ht="18" customHeight="1">
      <c r="A390" s="30">
        <v>202010512</v>
      </c>
      <c r="B390" s="310" t="s">
        <v>218</v>
      </c>
      <c r="C390" s="317"/>
      <c r="D390" s="89">
        <v>8500000</v>
      </c>
      <c r="E390" s="134"/>
    </row>
    <row r="391" spans="1:5" s="23" customFormat="1" ht="15">
      <c r="A391" s="30">
        <v>202010513</v>
      </c>
      <c r="B391" s="310" t="s">
        <v>219</v>
      </c>
      <c r="C391" s="317"/>
      <c r="D391" s="89">
        <f>90000000-558703-8599341</f>
        <v>80841956</v>
      </c>
      <c r="E391" s="134"/>
    </row>
    <row r="392" spans="1:5" s="23" customFormat="1" ht="19.5" customHeight="1">
      <c r="A392" s="30">
        <v>202010514</v>
      </c>
      <c r="B392" s="288" t="s">
        <v>220</v>
      </c>
      <c r="C392" s="319"/>
      <c r="D392" s="89">
        <v>16000000</v>
      </c>
      <c r="E392" s="134"/>
    </row>
    <row r="393" spans="1:5" s="23" customFormat="1" ht="18" customHeight="1">
      <c r="A393" s="30">
        <v>202010515</v>
      </c>
      <c r="B393" s="310" t="s">
        <v>221</v>
      </c>
      <c r="C393" s="317"/>
      <c r="D393" s="89">
        <v>2500000</v>
      </c>
      <c r="E393" s="134"/>
    </row>
    <row r="394" spans="1:5" s="23" customFormat="1" ht="18" customHeight="1">
      <c r="A394" s="30">
        <v>202010516</v>
      </c>
      <c r="B394" s="297" t="s">
        <v>222</v>
      </c>
      <c r="C394" s="320"/>
      <c r="D394" s="89">
        <f>12500000-2500000</f>
        <v>10000000</v>
      </c>
      <c r="E394" s="134"/>
    </row>
    <row r="395" spans="1:5" s="23" customFormat="1" ht="18" customHeight="1">
      <c r="A395" s="30">
        <v>202010517</v>
      </c>
      <c r="B395" s="84" t="s">
        <v>331</v>
      </c>
      <c r="C395" s="105"/>
      <c r="D395" s="89">
        <f>124000000-553168</f>
        <v>123446832</v>
      </c>
      <c r="E395" s="134"/>
    </row>
    <row r="396" spans="1:5" s="23" customFormat="1" ht="19.5" customHeight="1">
      <c r="A396" s="30">
        <v>202010518</v>
      </c>
      <c r="B396" s="84" t="s">
        <v>223</v>
      </c>
      <c r="C396" s="105"/>
      <c r="D396" s="89">
        <v>20500000</v>
      </c>
      <c r="E396" s="134"/>
    </row>
    <row r="397" spans="2:5" s="23" customFormat="1" ht="14.25" customHeight="1">
      <c r="B397" s="85" t="s">
        <v>224</v>
      </c>
      <c r="C397" s="86"/>
      <c r="D397" s="92">
        <f>SUM(D379:D396)</f>
        <v>437853961</v>
      </c>
      <c r="E397" s="134"/>
    </row>
    <row r="398" spans="2:5" s="23" customFormat="1" ht="15.75">
      <c r="B398" s="85"/>
      <c r="C398" s="86"/>
      <c r="D398" s="93" t="s">
        <v>1</v>
      </c>
      <c r="E398" s="134"/>
    </row>
    <row r="399" spans="1:5" s="23" customFormat="1" ht="20.25" customHeight="1">
      <c r="A399" s="19">
        <v>2020106</v>
      </c>
      <c r="B399" s="85" t="s">
        <v>225</v>
      </c>
      <c r="C399" s="86"/>
      <c r="D399" s="92">
        <f>+D404</f>
        <v>131257559</v>
      </c>
      <c r="E399" s="134"/>
    </row>
    <row r="400" spans="1:5" s="23" customFormat="1" ht="17.25" customHeight="1">
      <c r="A400" s="19"/>
      <c r="B400" s="85"/>
      <c r="C400" s="86"/>
      <c r="D400" s="93"/>
      <c r="E400" s="134"/>
    </row>
    <row r="401" spans="1:5" s="23" customFormat="1" ht="30.75" customHeight="1">
      <c r="A401" s="30">
        <v>202010601</v>
      </c>
      <c r="B401" s="106" t="s">
        <v>226</v>
      </c>
      <c r="C401" s="39"/>
      <c r="D401" s="72">
        <v>0</v>
      </c>
      <c r="E401" s="134"/>
    </row>
    <row r="402" spans="1:6" s="23" customFormat="1" ht="32.25" customHeight="1">
      <c r="A402" s="30">
        <v>202010602</v>
      </c>
      <c r="B402" s="293" t="s">
        <v>227</v>
      </c>
      <c r="C402" s="294"/>
      <c r="D402" s="89">
        <f>90571641+5420971+2137732</f>
        <v>98130344</v>
      </c>
      <c r="E402" s="134"/>
      <c r="F402" s="266"/>
    </row>
    <row r="403" spans="1:5" s="23" customFormat="1" ht="15">
      <c r="A403" s="30">
        <v>202010603</v>
      </c>
      <c r="B403" s="293" t="s">
        <v>278</v>
      </c>
      <c r="C403" s="321"/>
      <c r="D403" s="89">
        <f>44127215-11000000</f>
        <v>33127215</v>
      </c>
      <c r="E403" s="134"/>
    </row>
    <row r="404" spans="2:5" s="23" customFormat="1" ht="15.75">
      <c r="B404" s="85" t="s">
        <v>224</v>
      </c>
      <c r="C404" s="48"/>
      <c r="D404" s="102">
        <f>SUM(D401:D403)</f>
        <v>131257559</v>
      </c>
      <c r="E404" s="263">
        <f>611682612-D405-E374-E412</f>
        <v>34571092</v>
      </c>
    </row>
    <row r="405" spans="2:5" s="23" customFormat="1" ht="15.75">
      <c r="B405" s="85" t="s">
        <v>264</v>
      </c>
      <c r="C405" s="86"/>
      <c r="D405" s="92">
        <f>+D404+D397</f>
        <v>569111520</v>
      </c>
      <c r="E405" s="134">
        <f>+D405-611682612</f>
        <v>-42571092</v>
      </c>
    </row>
    <row r="406" spans="2:5" s="23" customFormat="1" ht="15.75">
      <c r="B406" s="85"/>
      <c r="C406" s="86"/>
      <c r="D406" s="93"/>
      <c r="E406" s="134">
        <f>+E405+E412+E374</f>
        <v>-34571092</v>
      </c>
    </row>
    <row r="407" spans="1:5" s="23" customFormat="1" ht="15.75">
      <c r="A407" s="19">
        <v>2020107</v>
      </c>
      <c r="B407" s="85" t="s">
        <v>228</v>
      </c>
      <c r="C407" s="86"/>
      <c r="D407" s="92">
        <f>+D415</f>
        <v>37430362</v>
      </c>
      <c r="E407" s="134"/>
    </row>
    <row r="408" spans="1:5" s="23" customFormat="1" ht="18" customHeight="1">
      <c r="A408" s="24"/>
      <c r="B408" s="85"/>
      <c r="C408" s="86"/>
      <c r="D408" s="93"/>
      <c r="E408" s="134"/>
    </row>
    <row r="409" spans="1:5" s="23" customFormat="1" ht="18" customHeight="1">
      <c r="A409" s="26">
        <v>202010701</v>
      </c>
      <c r="B409" s="36" t="s">
        <v>229</v>
      </c>
      <c r="C409" s="36"/>
      <c r="D409" s="89">
        <v>1</v>
      </c>
      <c r="E409" s="134"/>
    </row>
    <row r="410" spans="1:5" s="23" customFormat="1" ht="18" customHeight="1">
      <c r="A410" s="30">
        <v>202010702</v>
      </c>
      <c r="B410" s="36" t="s">
        <v>230</v>
      </c>
      <c r="C410" s="36"/>
      <c r="D410" s="89">
        <v>5000000</v>
      </c>
      <c r="E410" s="134"/>
    </row>
    <row r="411" spans="1:5" s="23" customFormat="1" ht="18" customHeight="1">
      <c r="A411" s="30">
        <v>202010703</v>
      </c>
      <c r="B411" s="36" t="s">
        <v>231</v>
      </c>
      <c r="C411" s="36"/>
      <c r="D411" s="89">
        <v>2940000</v>
      </c>
      <c r="E411" s="144" t="s">
        <v>319</v>
      </c>
    </row>
    <row r="412" spans="1:5" s="23" customFormat="1" ht="18" customHeight="1">
      <c r="A412" s="30">
        <v>202010704</v>
      </c>
      <c r="B412" s="36" t="s">
        <v>232</v>
      </c>
      <c r="C412" s="36"/>
      <c r="D412" s="89">
        <v>4319999</v>
      </c>
      <c r="E412" s="143">
        <v>5000000</v>
      </c>
    </row>
    <row r="413" spans="1:5" s="23" customFormat="1" ht="18" customHeight="1">
      <c r="A413" s="30">
        <v>202010705</v>
      </c>
      <c r="B413" s="36" t="s">
        <v>233</v>
      </c>
      <c r="C413" s="36"/>
      <c r="D413" s="89">
        <f>37560000-19520638+5000000</f>
        <v>23039362</v>
      </c>
      <c r="E413" s="134"/>
    </row>
    <row r="414" spans="1:5" s="23" customFormat="1" ht="15">
      <c r="A414" s="30">
        <v>202010706</v>
      </c>
      <c r="B414" s="36" t="s">
        <v>234</v>
      </c>
      <c r="C414" s="36"/>
      <c r="D414" s="89">
        <v>2131000</v>
      </c>
      <c r="E414" s="134"/>
    </row>
    <row r="415" spans="2:5" s="23" customFormat="1" ht="15.75">
      <c r="B415" s="85" t="s">
        <v>180</v>
      </c>
      <c r="C415" s="48"/>
      <c r="D415" s="102">
        <f>SUM(D409:D414)</f>
        <v>37430362</v>
      </c>
      <c r="E415" s="134"/>
    </row>
    <row r="416" spans="2:5" s="23" customFormat="1" ht="15.75">
      <c r="B416" s="107"/>
      <c r="C416" s="81"/>
      <c r="D416" s="103"/>
      <c r="E416" s="134"/>
    </row>
    <row r="417" spans="1:5" s="23" customFormat="1" ht="15.75">
      <c r="A417" s="19">
        <v>2020108</v>
      </c>
      <c r="B417" s="322" t="s">
        <v>235</v>
      </c>
      <c r="C417" s="322"/>
      <c r="D417" s="108">
        <f>+D459</f>
        <v>283454009</v>
      </c>
      <c r="E417" s="134"/>
    </row>
    <row r="418" spans="1:5" s="23" customFormat="1" ht="15.75">
      <c r="A418" s="24"/>
      <c r="B418" s="107"/>
      <c r="C418" s="81"/>
      <c r="D418" s="103"/>
      <c r="E418" s="134"/>
    </row>
    <row r="419" spans="1:5" s="23" customFormat="1" ht="15.75">
      <c r="A419" s="30">
        <v>202010801</v>
      </c>
      <c r="B419" s="109" t="s">
        <v>236</v>
      </c>
      <c r="C419" s="110"/>
      <c r="D419" s="111">
        <v>3000000</v>
      </c>
      <c r="E419" s="134"/>
    </row>
    <row r="420" spans="1:5" s="23" customFormat="1" ht="15.75">
      <c r="A420" s="30">
        <v>202010802</v>
      </c>
      <c r="B420" s="109" t="s">
        <v>237</v>
      </c>
      <c r="C420" s="110"/>
      <c r="D420" s="111">
        <v>2500000</v>
      </c>
      <c r="E420" s="134"/>
    </row>
    <row r="421" spans="1:5" s="23" customFormat="1" ht="15">
      <c r="A421" s="30">
        <v>202010803</v>
      </c>
      <c r="B421" s="297" t="s">
        <v>275</v>
      </c>
      <c r="C421" s="280"/>
      <c r="D421" s="89">
        <v>1000</v>
      </c>
      <c r="E421" s="134"/>
    </row>
    <row r="422" spans="1:5" s="23" customFormat="1" ht="15">
      <c r="A422" s="30">
        <v>202010804</v>
      </c>
      <c r="B422" s="323" t="s">
        <v>457</v>
      </c>
      <c r="C422" s="324"/>
      <c r="D422" s="111">
        <v>0</v>
      </c>
      <c r="E422" s="134"/>
    </row>
    <row r="423" spans="1:5" s="23" customFormat="1" ht="15">
      <c r="A423" s="30">
        <v>202010805</v>
      </c>
      <c r="B423" s="297" t="s">
        <v>238</v>
      </c>
      <c r="C423" s="320"/>
      <c r="D423" s="89">
        <v>15948544</v>
      </c>
      <c r="E423" s="134"/>
    </row>
    <row r="424" spans="1:5" s="23" customFormat="1" ht="15">
      <c r="A424" s="30">
        <v>202010806</v>
      </c>
      <c r="B424" s="323" t="s">
        <v>239</v>
      </c>
      <c r="C424" s="324"/>
      <c r="D424" s="111">
        <v>12500000</v>
      </c>
      <c r="E424" s="134"/>
    </row>
    <row r="425" spans="1:5" s="23" customFormat="1" ht="15.75">
      <c r="A425" s="30">
        <v>202010807</v>
      </c>
      <c r="B425" s="109" t="s">
        <v>240</v>
      </c>
      <c r="C425" s="110"/>
      <c r="D425" s="111">
        <f>12214088+8000000</f>
        <v>20214088</v>
      </c>
      <c r="E425" s="134"/>
    </row>
    <row r="426" spans="1:5" s="23" customFormat="1" ht="15">
      <c r="A426" s="30">
        <v>202010808</v>
      </c>
      <c r="B426" s="27" t="s">
        <v>272</v>
      </c>
      <c r="C426" s="82"/>
      <c r="D426" s="72">
        <v>22000000</v>
      </c>
      <c r="E426" s="134"/>
    </row>
    <row r="427" spans="1:5" s="23" customFormat="1" ht="15.75">
      <c r="A427" s="30">
        <v>202010809</v>
      </c>
      <c r="B427" s="109" t="s">
        <v>241</v>
      </c>
      <c r="C427" s="110"/>
      <c r="D427" s="111">
        <v>4000000</v>
      </c>
      <c r="E427" s="134"/>
    </row>
    <row r="428" spans="1:5" s="23" customFormat="1" ht="15">
      <c r="A428" s="30">
        <v>202010810</v>
      </c>
      <c r="B428" s="323" t="s">
        <v>242</v>
      </c>
      <c r="C428" s="324"/>
      <c r="D428" s="111">
        <v>19000000</v>
      </c>
      <c r="E428" s="134"/>
    </row>
    <row r="429" spans="1:5" s="23" customFormat="1" ht="15.75">
      <c r="A429" s="30">
        <v>202010811</v>
      </c>
      <c r="B429" s="109" t="s">
        <v>243</v>
      </c>
      <c r="C429" s="110"/>
      <c r="D429" s="111">
        <f>13200000+12000000</f>
        <v>25200000</v>
      </c>
      <c r="E429" s="134"/>
    </row>
    <row r="430" spans="1:5" s="23" customFormat="1" ht="15.75">
      <c r="A430" s="30">
        <v>202010812</v>
      </c>
      <c r="B430" s="109" t="s">
        <v>244</v>
      </c>
      <c r="C430" s="110"/>
      <c r="D430" s="111">
        <v>1500000</v>
      </c>
      <c r="E430" s="134"/>
    </row>
    <row r="431" spans="1:5" s="23" customFormat="1" ht="15">
      <c r="A431" s="30">
        <v>202010813</v>
      </c>
      <c r="B431" s="326" t="s">
        <v>245</v>
      </c>
      <c r="C431" s="327"/>
      <c r="D431" s="111">
        <v>23565000</v>
      </c>
      <c r="E431" s="134"/>
    </row>
    <row r="432" spans="1:5" s="23" customFormat="1" ht="15.75">
      <c r="A432" s="30">
        <v>202010814</v>
      </c>
      <c r="B432" s="109" t="s">
        <v>246</v>
      </c>
      <c r="C432" s="110"/>
      <c r="D432" s="111">
        <v>12187500</v>
      </c>
      <c r="E432" s="134"/>
    </row>
    <row r="433" spans="1:5" s="23" customFormat="1" ht="15.75">
      <c r="A433" s="30">
        <v>202010815</v>
      </c>
      <c r="B433" s="109" t="s">
        <v>247</v>
      </c>
      <c r="C433" s="110"/>
      <c r="D433" s="111">
        <f>3000000-500000</f>
        <v>2500000</v>
      </c>
      <c r="E433" s="134"/>
    </row>
    <row r="434" spans="1:5" s="23" customFormat="1" ht="15.75">
      <c r="A434" s="30">
        <v>202010816</v>
      </c>
      <c r="B434" s="109" t="s">
        <v>248</v>
      </c>
      <c r="C434" s="110"/>
      <c r="D434" s="111">
        <v>1900000</v>
      </c>
      <c r="E434" s="134"/>
    </row>
    <row r="435" spans="1:5" s="23" customFormat="1" ht="15.75">
      <c r="A435" s="30">
        <v>202010817</v>
      </c>
      <c r="B435" s="109" t="s">
        <v>249</v>
      </c>
      <c r="C435" s="110"/>
      <c r="D435" s="111">
        <v>5000000</v>
      </c>
      <c r="E435" s="134"/>
    </row>
    <row r="436" spans="1:5" s="23" customFormat="1" ht="15.75">
      <c r="A436" s="30">
        <v>202010818</v>
      </c>
      <c r="B436" s="109" t="s">
        <v>250</v>
      </c>
      <c r="C436" s="110"/>
      <c r="D436" s="111">
        <f>2000000+500000</f>
        <v>2500000</v>
      </c>
      <c r="E436" s="134"/>
    </row>
    <row r="437" spans="1:5" s="23" customFormat="1" ht="15.75">
      <c r="A437" s="30">
        <v>202010819</v>
      </c>
      <c r="B437" s="109" t="s">
        <v>251</v>
      </c>
      <c r="C437" s="110"/>
      <c r="D437" s="111">
        <v>1000</v>
      </c>
      <c r="E437" s="134"/>
    </row>
    <row r="438" spans="1:5" s="23" customFormat="1" ht="15">
      <c r="A438" s="30">
        <v>202010820</v>
      </c>
      <c r="B438" s="305" t="s">
        <v>252</v>
      </c>
      <c r="C438" s="318"/>
      <c r="D438" s="112">
        <v>2000000</v>
      </c>
      <c r="E438" s="134"/>
    </row>
    <row r="439" spans="1:5" s="23" customFormat="1" ht="15">
      <c r="A439" s="30">
        <v>202010821</v>
      </c>
      <c r="B439" s="305" t="s">
        <v>253</v>
      </c>
      <c r="C439" s="318"/>
      <c r="D439" s="72">
        <f>2000000+2276981</f>
        <v>4276981</v>
      </c>
      <c r="E439" s="134"/>
    </row>
    <row r="440" spans="1:5" s="23" customFormat="1" ht="15">
      <c r="A440" s="30">
        <v>202010822</v>
      </c>
      <c r="B440" s="27" t="s">
        <v>254</v>
      </c>
      <c r="C440" s="82"/>
      <c r="D440" s="72">
        <v>4000000</v>
      </c>
      <c r="E440" s="134"/>
    </row>
    <row r="441" spans="1:5" s="23" customFormat="1" ht="15">
      <c r="A441" s="30">
        <v>202010823</v>
      </c>
      <c r="B441" s="297" t="s">
        <v>277</v>
      </c>
      <c r="C441" s="280"/>
      <c r="D441" s="72">
        <v>6000000</v>
      </c>
      <c r="E441" s="134"/>
    </row>
    <row r="442" spans="1:5" s="23" customFormat="1" ht="15">
      <c r="A442" s="30">
        <v>202010824</v>
      </c>
      <c r="B442" s="305" t="s">
        <v>255</v>
      </c>
      <c r="C442" s="325"/>
      <c r="D442" s="72">
        <v>100000</v>
      </c>
      <c r="E442" s="134"/>
    </row>
    <row r="443" spans="1:5" s="23" customFormat="1" ht="15">
      <c r="A443" s="30">
        <v>202010825</v>
      </c>
      <c r="B443" s="27" t="s">
        <v>256</v>
      </c>
      <c r="C443" s="82"/>
      <c r="D443" s="72">
        <v>1000</v>
      </c>
      <c r="E443" s="134"/>
    </row>
    <row r="444" spans="1:5" s="23" customFormat="1" ht="15">
      <c r="A444" s="30">
        <v>202010826</v>
      </c>
      <c r="B444" s="305" t="s">
        <v>257</v>
      </c>
      <c r="C444" s="325"/>
      <c r="D444" s="72">
        <v>1000</v>
      </c>
      <c r="E444" s="134"/>
    </row>
    <row r="445" spans="1:5" s="23" customFormat="1" ht="15">
      <c r="A445" s="30">
        <v>202010827</v>
      </c>
      <c r="B445" s="27" t="s">
        <v>258</v>
      </c>
      <c r="C445" s="82"/>
      <c r="D445" s="72">
        <v>1000</v>
      </c>
      <c r="E445" s="134"/>
    </row>
    <row r="446" spans="1:5" s="23" customFormat="1" ht="15">
      <c r="A446" s="30">
        <v>202010828</v>
      </c>
      <c r="B446" s="27" t="s">
        <v>261</v>
      </c>
      <c r="C446" s="82"/>
      <c r="D446" s="72">
        <f>6068478+1173975</f>
        <v>7242453</v>
      </c>
      <c r="E446" s="134"/>
    </row>
    <row r="447" spans="1:5" s="23" customFormat="1" ht="15">
      <c r="A447" s="30">
        <v>202010829</v>
      </c>
      <c r="B447" s="305" t="s">
        <v>262</v>
      </c>
      <c r="C447" s="325"/>
      <c r="D447" s="72">
        <v>0</v>
      </c>
      <c r="E447" s="134"/>
    </row>
    <row r="448" spans="1:5" s="23" customFormat="1" ht="15">
      <c r="A448" s="30">
        <v>202010830</v>
      </c>
      <c r="B448" s="27" t="s">
        <v>263</v>
      </c>
      <c r="C448" s="31"/>
      <c r="D448" s="72">
        <v>8000000</v>
      </c>
      <c r="E448" s="134"/>
    </row>
    <row r="449" spans="1:5" s="23" customFormat="1" ht="15">
      <c r="A449" s="30">
        <v>202010831</v>
      </c>
      <c r="B449" s="310" t="s">
        <v>219</v>
      </c>
      <c r="C449" s="317"/>
      <c r="D449" s="72">
        <f>27771484+2042959</f>
        <v>29814443</v>
      </c>
      <c r="E449" s="134"/>
    </row>
    <row r="450" spans="1:5" s="23" customFormat="1" ht="15">
      <c r="A450" s="30">
        <v>202010832</v>
      </c>
      <c r="B450" s="310" t="s">
        <v>265</v>
      </c>
      <c r="C450" s="311"/>
      <c r="D450" s="72">
        <v>5000000</v>
      </c>
      <c r="E450" s="134"/>
    </row>
    <row r="451" spans="1:5" s="23" customFormat="1" ht="15">
      <c r="A451" s="30">
        <v>202010833</v>
      </c>
      <c r="B451" s="96" t="s">
        <v>267</v>
      </c>
      <c r="C451" s="97"/>
      <c r="D451" s="72">
        <v>5000000</v>
      </c>
      <c r="E451" s="134"/>
    </row>
    <row r="452" spans="1:5" s="23" customFormat="1" ht="15">
      <c r="A452" s="30">
        <v>202010834</v>
      </c>
      <c r="B452" s="96" t="s">
        <v>458</v>
      </c>
      <c r="C452" s="97"/>
      <c r="D452" s="72">
        <v>0</v>
      </c>
      <c r="E452" s="134"/>
    </row>
    <row r="453" spans="1:5" s="23" customFormat="1" ht="15">
      <c r="A453" s="30">
        <v>202010835</v>
      </c>
      <c r="B453" s="38" t="s">
        <v>470</v>
      </c>
      <c r="C453" s="39"/>
      <c r="D453" s="72">
        <v>500000</v>
      </c>
      <c r="E453" s="134"/>
    </row>
    <row r="454" spans="1:5" s="23" customFormat="1" ht="15">
      <c r="A454" s="30">
        <v>202010836</v>
      </c>
      <c r="B454" s="96" t="s">
        <v>274</v>
      </c>
      <c r="C454" s="97"/>
      <c r="D454" s="72">
        <v>2000000</v>
      </c>
      <c r="E454" s="134"/>
    </row>
    <row r="455" spans="1:5" s="23" customFormat="1" ht="15">
      <c r="A455" s="30">
        <v>202010837</v>
      </c>
      <c r="B455" s="96" t="s">
        <v>468</v>
      </c>
      <c r="C455" s="97"/>
      <c r="D455" s="72">
        <v>5000000</v>
      </c>
      <c r="E455" s="134"/>
    </row>
    <row r="456" spans="1:5" s="23" customFormat="1" ht="15">
      <c r="A456" s="30">
        <v>202010838</v>
      </c>
      <c r="B456" s="96" t="s">
        <v>469</v>
      </c>
      <c r="C456" s="97"/>
      <c r="D456" s="72">
        <v>8000000</v>
      </c>
      <c r="E456" s="134"/>
    </row>
    <row r="457" spans="1:5" s="23" customFormat="1" ht="15">
      <c r="A457" s="30">
        <v>202010839</v>
      </c>
      <c r="B457" s="96" t="s">
        <v>472</v>
      </c>
      <c r="C457" s="97"/>
      <c r="D457" s="72">
        <v>8000000</v>
      </c>
      <c r="E457" s="134"/>
    </row>
    <row r="458" spans="1:5" s="23" customFormat="1" ht="15">
      <c r="A458" s="30">
        <v>202010840</v>
      </c>
      <c r="B458" s="96" t="s">
        <v>480</v>
      </c>
      <c r="C458" s="97"/>
      <c r="D458" s="72">
        <v>15000000</v>
      </c>
      <c r="E458" s="134"/>
    </row>
    <row r="459" spans="2:5" s="23" customFormat="1" ht="15.75">
      <c r="B459" s="49" t="s">
        <v>97</v>
      </c>
      <c r="C459" s="21"/>
      <c r="D459" s="92">
        <f>SUM(D419:D458)</f>
        <v>283454009</v>
      </c>
      <c r="E459" s="134"/>
    </row>
    <row r="460" spans="2:5" s="23" customFormat="1" ht="15.75">
      <c r="B460" s="53" t="s">
        <v>259</v>
      </c>
      <c r="C460" s="21"/>
      <c r="D460" s="22"/>
      <c r="E460" s="134"/>
    </row>
    <row r="461" spans="2:5" s="23" customFormat="1" ht="15">
      <c r="B461" s="32"/>
      <c r="C461" s="21"/>
      <c r="D461" s="22"/>
      <c r="E461" s="134"/>
    </row>
    <row r="462" spans="2:6" s="23" customFormat="1" ht="18.75" customHeight="1">
      <c r="B462" s="49" t="s">
        <v>173</v>
      </c>
      <c r="C462" s="21"/>
      <c r="D462" s="33">
        <f>+D322</f>
        <v>1110633889</v>
      </c>
      <c r="E462" s="134">
        <v>1075330010</v>
      </c>
      <c r="F462" s="278" t="s">
        <v>471</v>
      </c>
    </row>
    <row r="463" spans="2:6" s="23" customFormat="1" ht="15.75">
      <c r="B463" s="292" t="s">
        <v>260</v>
      </c>
      <c r="C463" s="292"/>
      <c r="D463" s="33">
        <f>D459</f>
        <v>283454009</v>
      </c>
      <c r="E463" s="134"/>
      <c r="F463" s="278"/>
    </row>
    <row r="464" spans="2:6" s="23" customFormat="1" ht="16.5" thickBot="1">
      <c r="B464" s="49" t="s">
        <v>332</v>
      </c>
      <c r="C464" s="21"/>
      <c r="D464" s="113">
        <f>D327+D336+D343+D359+D377+D407</f>
        <v>2342565697</v>
      </c>
      <c r="E464" s="134"/>
      <c r="F464" s="278"/>
    </row>
    <row r="465" spans="2:5" s="23" customFormat="1" ht="15.75">
      <c r="B465" s="114" t="s">
        <v>333</v>
      </c>
      <c r="D465" s="33">
        <f>SUM(D462:D464)</f>
        <v>3736653595</v>
      </c>
      <c r="E465" s="134"/>
    </row>
    <row r="466" spans="1:5" s="23" customFormat="1" ht="15">
      <c r="A466" s="116"/>
      <c r="B466" s="116"/>
      <c r="C466" s="116"/>
      <c r="D466" s="117">
        <f>+D465-D145</f>
        <v>0</v>
      </c>
      <c r="E466" s="141"/>
    </row>
    <row r="467" spans="1:15" s="23" customFormat="1" ht="18.75" customHeight="1">
      <c r="A467" s="115"/>
      <c r="B467" s="115"/>
      <c r="C467" s="115"/>
      <c r="D467" s="268"/>
      <c r="E467" s="142"/>
      <c r="F467" s="115"/>
      <c r="G467" s="115"/>
      <c r="H467" s="115"/>
      <c r="I467" s="115"/>
      <c r="J467" s="115"/>
      <c r="K467" s="115"/>
      <c r="L467" s="115"/>
      <c r="M467" s="115"/>
      <c r="N467" s="115"/>
      <c r="O467" s="115"/>
    </row>
    <row r="468" spans="1:15" ht="19.5" customHeight="1">
      <c r="A468" s="116"/>
      <c r="B468" s="116"/>
      <c r="C468" s="116"/>
      <c r="D468" s="269"/>
      <c r="E468" s="141"/>
      <c r="F468" s="116"/>
      <c r="G468" s="116"/>
      <c r="H468" s="116"/>
      <c r="I468" s="116"/>
      <c r="J468" s="116"/>
      <c r="K468" s="116"/>
      <c r="L468" s="116"/>
      <c r="M468" s="116"/>
      <c r="N468" s="116"/>
      <c r="O468" s="116"/>
    </row>
    <row r="469" spans="1:15" ht="18">
      <c r="A469" s="146"/>
      <c r="B469" s="146"/>
      <c r="C469" s="146"/>
      <c r="D469" s="279"/>
      <c r="E469" s="146"/>
      <c r="F469" s="3"/>
      <c r="G469" s="3"/>
      <c r="H469" s="3"/>
      <c r="I469" s="3"/>
      <c r="J469" s="3"/>
      <c r="K469" s="3"/>
      <c r="L469" s="3"/>
      <c r="M469" s="3"/>
      <c r="N469" s="3"/>
      <c r="O469" s="3"/>
    </row>
    <row r="471" spans="1:4" ht="18">
      <c r="A471" s="5"/>
      <c r="B471" s="18"/>
      <c r="C471" s="5"/>
      <c r="D471" s="8"/>
    </row>
    <row r="472" spans="1:4" ht="18">
      <c r="A472" s="5"/>
      <c r="B472" s="18"/>
      <c r="C472" s="5"/>
      <c r="D472" s="8"/>
    </row>
    <row r="473" spans="2:4" ht="18">
      <c r="B473" s="4"/>
      <c r="C473" s="5"/>
      <c r="D473" s="8"/>
    </row>
    <row r="474" ht="14.25">
      <c r="B474" s="4"/>
    </row>
    <row r="475" ht="14.25">
      <c r="B475" s="4"/>
    </row>
    <row r="476" ht="14.25">
      <c r="B476" s="4"/>
    </row>
    <row r="477" ht="14.25">
      <c r="B477" s="4"/>
    </row>
    <row r="478" ht="14.25">
      <c r="B478" s="4"/>
    </row>
    <row r="479" ht="14.25">
      <c r="B479" s="4"/>
    </row>
    <row r="480" ht="14.25">
      <c r="B480" s="4"/>
    </row>
  </sheetData>
  <sheetProtection/>
  <mergeCells count="124">
    <mergeCell ref="B81:C81"/>
    <mergeCell ref="B96:C96"/>
    <mergeCell ref="B58:C58"/>
    <mergeCell ref="B41:C41"/>
    <mergeCell ref="B44:C44"/>
    <mergeCell ref="B46:C46"/>
    <mergeCell ref="B36:C36"/>
    <mergeCell ref="B65:C65"/>
    <mergeCell ref="B78:C78"/>
    <mergeCell ref="B56:C56"/>
    <mergeCell ref="B168:C168"/>
    <mergeCell ref="B173:C173"/>
    <mergeCell ref="B181:C181"/>
    <mergeCell ref="B97:C97"/>
    <mergeCell ref="B98:C98"/>
    <mergeCell ref="B101:C101"/>
    <mergeCell ref="B103:C103"/>
    <mergeCell ref="B104:C104"/>
    <mergeCell ref="B123:C123"/>
    <mergeCell ref="B136:C136"/>
    <mergeCell ref="B224:C224"/>
    <mergeCell ref="B225:C225"/>
    <mergeCell ref="A147:D154"/>
    <mergeCell ref="B182:C182"/>
    <mergeCell ref="B201:C201"/>
    <mergeCell ref="B202:C202"/>
    <mergeCell ref="B203:C203"/>
    <mergeCell ref="B204:C204"/>
    <mergeCell ref="B210:C210"/>
    <mergeCell ref="B211:C211"/>
    <mergeCell ref="B215:C215"/>
    <mergeCell ref="B223:C223"/>
    <mergeCell ref="B281:C281"/>
    <mergeCell ref="B282:C282"/>
    <mergeCell ref="B230:C230"/>
    <mergeCell ref="B237:C237"/>
    <mergeCell ref="B242:C242"/>
    <mergeCell ref="B244:C244"/>
    <mergeCell ref="B249:C249"/>
    <mergeCell ref="B251:C251"/>
    <mergeCell ref="B253:C253"/>
    <mergeCell ref="B256:C256"/>
    <mergeCell ref="B274:C274"/>
    <mergeCell ref="B276:C276"/>
    <mergeCell ref="B331:C331"/>
    <mergeCell ref="B332:C332"/>
    <mergeCell ref="B283:C283"/>
    <mergeCell ref="B287:C287"/>
    <mergeCell ref="B289:C290"/>
    <mergeCell ref="B292:C292"/>
    <mergeCell ref="B312:C312"/>
    <mergeCell ref="B313:C313"/>
    <mergeCell ref="B317:C317"/>
    <mergeCell ref="B318:C318"/>
    <mergeCell ref="B322:C322"/>
    <mergeCell ref="B330:C330"/>
    <mergeCell ref="B351:C351"/>
    <mergeCell ref="B353:C353"/>
    <mergeCell ref="B352:C352"/>
    <mergeCell ref="B338:C338"/>
    <mergeCell ref="B339:C339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71:C371"/>
    <mergeCell ref="B373:C373"/>
    <mergeCell ref="B354:C354"/>
    <mergeCell ref="B356:C356"/>
    <mergeCell ref="B359:C359"/>
    <mergeCell ref="B363:C363"/>
    <mergeCell ref="B361:C361"/>
    <mergeCell ref="B370:C370"/>
    <mergeCell ref="B383:C383"/>
    <mergeCell ref="B417:C417"/>
    <mergeCell ref="B374:C374"/>
    <mergeCell ref="B372:C372"/>
    <mergeCell ref="B424:C424"/>
    <mergeCell ref="B384:C384"/>
    <mergeCell ref="B392:C392"/>
    <mergeCell ref="B422:C422"/>
    <mergeCell ref="B421:C421"/>
    <mergeCell ref="B431:C431"/>
    <mergeCell ref="B364:C364"/>
    <mergeCell ref="B365:C365"/>
    <mergeCell ref="B379:C379"/>
    <mergeCell ref="B403:C403"/>
    <mergeCell ref="B402:C402"/>
    <mergeCell ref="B390:C390"/>
    <mergeCell ref="B369:C369"/>
    <mergeCell ref="B423:C423"/>
    <mergeCell ref="B380:C380"/>
    <mergeCell ref="B463:C463"/>
    <mergeCell ref="B449:C449"/>
    <mergeCell ref="B438:C438"/>
    <mergeCell ref="B447:C447"/>
    <mergeCell ref="B444:C444"/>
    <mergeCell ref="B442:C442"/>
    <mergeCell ref="B450:C450"/>
    <mergeCell ref="B441:C441"/>
    <mergeCell ref="B428:C428"/>
    <mergeCell ref="B1:D1"/>
    <mergeCell ref="B439:C439"/>
    <mergeCell ref="B391:C391"/>
    <mergeCell ref="B393:C393"/>
    <mergeCell ref="B394:C394"/>
    <mergeCell ref="B385:C385"/>
    <mergeCell ref="B387:C387"/>
    <mergeCell ref="B382:C382"/>
    <mergeCell ref="B389:C389"/>
    <mergeCell ref="B145:C145"/>
    <mergeCell ref="B37:C37"/>
    <mergeCell ref="A13:D13"/>
    <mergeCell ref="A15:D15"/>
    <mergeCell ref="A17:D17"/>
    <mergeCell ref="A19:D19"/>
    <mergeCell ref="A21:B21"/>
    <mergeCell ref="A24:D31"/>
    <mergeCell ref="B64:C64"/>
    <mergeCell ref="B35:C35"/>
  </mergeCells>
  <printOptions horizontalCentered="1"/>
  <pageMargins left="0.47" right="0.56" top="1.3779527559055118" bottom="0.984251968503937" header="0" footer="0"/>
  <pageSetup horizontalDpi="300" verticalDpi="300" orientation="portrait" scale="70" r:id="rId2"/>
  <headerFooter alignWithMargins="0">
    <oddHeader>&amp;CPágina &amp;P de &amp;N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9"/>
  <sheetViews>
    <sheetView zoomScalePageLayoutView="0" workbookViewId="0" topLeftCell="A50">
      <selection activeCell="B30" sqref="B30"/>
    </sheetView>
  </sheetViews>
  <sheetFormatPr defaultColWidth="11.421875" defaultRowHeight="12.75"/>
  <cols>
    <col min="2" max="2" width="31.421875" style="0" customWidth="1"/>
    <col min="3" max="3" width="22.57421875" style="119" customWidth="1"/>
    <col min="4" max="4" width="19.7109375" style="0" customWidth="1"/>
    <col min="6" max="7" width="11.421875" style="0" hidden="1" customWidth="1"/>
  </cols>
  <sheetData>
    <row r="1" spans="1:7" s="118" customFormat="1" ht="21" thickBot="1">
      <c r="A1" s="328" t="s">
        <v>281</v>
      </c>
      <c r="B1" s="329"/>
      <c r="C1" s="329"/>
      <c r="D1" s="329"/>
      <c r="E1" s="329"/>
      <c r="F1" s="329"/>
      <c r="G1" s="330"/>
    </row>
    <row r="2" ht="13.5" thickTop="1"/>
    <row r="3" ht="20.25">
      <c r="A3" s="118" t="s">
        <v>287</v>
      </c>
    </row>
    <row r="4" spans="1:5" ht="12.75">
      <c r="A4" t="s">
        <v>282</v>
      </c>
      <c r="C4" s="272">
        <v>17382002</v>
      </c>
      <c r="D4" t="s">
        <v>283</v>
      </c>
      <c r="E4" t="s">
        <v>284</v>
      </c>
    </row>
    <row r="5" spans="1:5" ht="12.75">
      <c r="A5" t="s">
        <v>285</v>
      </c>
      <c r="C5" s="272">
        <v>156881826</v>
      </c>
      <c r="D5" t="s">
        <v>290</v>
      </c>
      <c r="E5" t="s">
        <v>291</v>
      </c>
    </row>
    <row r="6" spans="1:3" ht="12.75">
      <c r="A6" s="120" t="s">
        <v>286</v>
      </c>
      <c r="C6" s="121">
        <f>SUM(C4:C5)</f>
        <v>174263828</v>
      </c>
    </row>
    <row r="7" spans="1:3" ht="12.75">
      <c r="A7" s="120" t="s">
        <v>323</v>
      </c>
      <c r="C7" s="125">
        <v>145991000</v>
      </c>
    </row>
    <row r="8" spans="1:3" ht="12.75">
      <c r="A8" s="120" t="s">
        <v>324</v>
      </c>
      <c r="C8" s="126">
        <f>+C6-C7</f>
        <v>28272828</v>
      </c>
    </row>
    <row r="10" ht="20.25">
      <c r="A10" s="118" t="s">
        <v>288</v>
      </c>
    </row>
    <row r="11" ht="20.25">
      <c r="A11" s="118" t="s">
        <v>289</v>
      </c>
    </row>
    <row r="12" spans="1:8" ht="12.75">
      <c r="A12" t="s">
        <v>282</v>
      </c>
      <c r="C12" s="272">
        <f>8094607-149</f>
        <v>8094458</v>
      </c>
      <c r="D12" t="s">
        <v>295</v>
      </c>
      <c r="E12" t="s">
        <v>284</v>
      </c>
      <c r="H12" s="127"/>
    </row>
    <row r="13" spans="1:5" ht="12.75">
      <c r="A13" t="s">
        <v>285</v>
      </c>
      <c r="C13" s="272">
        <v>91615896</v>
      </c>
      <c r="D13" t="s">
        <v>290</v>
      </c>
      <c r="E13" t="s">
        <v>326</v>
      </c>
    </row>
    <row r="14" spans="1:5" ht="12.75">
      <c r="A14" t="s">
        <v>292</v>
      </c>
      <c r="C14" s="272">
        <v>1873275</v>
      </c>
      <c r="D14" t="s">
        <v>283</v>
      </c>
      <c r="E14" t="s">
        <v>293</v>
      </c>
    </row>
    <row r="15" spans="1:3" ht="12.75">
      <c r="A15" s="120" t="s">
        <v>294</v>
      </c>
      <c r="C15" s="124">
        <f>SUM(C12:C14)</f>
        <v>101583629</v>
      </c>
    </row>
    <row r="16" spans="1:3" ht="12.75">
      <c r="A16" s="120"/>
      <c r="C16" s="129"/>
    </row>
    <row r="17" ht="20.25">
      <c r="A17" s="118" t="s">
        <v>296</v>
      </c>
    </row>
    <row r="18" spans="1:5" ht="12.75">
      <c r="A18" t="s">
        <v>282</v>
      </c>
      <c r="C18" s="272">
        <v>75281207</v>
      </c>
      <c r="D18" t="s">
        <v>295</v>
      </c>
      <c r="E18" t="s">
        <v>300</v>
      </c>
    </row>
    <row r="19" spans="1:5" ht="12.75">
      <c r="A19" t="s">
        <v>285</v>
      </c>
      <c r="C19" s="272">
        <v>931890372</v>
      </c>
      <c r="D19" t="s">
        <v>290</v>
      </c>
      <c r="E19" t="s">
        <v>326</v>
      </c>
    </row>
    <row r="20" spans="1:3" ht="12.75">
      <c r="A20" s="120" t="s">
        <v>297</v>
      </c>
      <c r="C20" s="124">
        <f>SUM(C18:C19)</f>
        <v>1007171579</v>
      </c>
    </row>
    <row r="22" ht="20.25">
      <c r="A22" s="118" t="s">
        <v>298</v>
      </c>
    </row>
    <row r="23" spans="1:5" ht="12.75">
      <c r="A23" t="s">
        <v>282</v>
      </c>
      <c r="C23" s="272">
        <f>2088591-567</f>
        <v>2088024</v>
      </c>
      <c r="D23" t="s">
        <v>295</v>
      </c>
      <c r="E23" t="s">
        <v>300</v>
      </c>
    </row>
    <row r="24" spans="1:5" ht="12.75">
      <c r="A24" t="s">
        <v>285</v>
      </c>
      <c r="C24" s="272">
        <v>17745748</v>
      </c>
      <c r="D24" t="s">
        <v>290</v>
      </c>
      <c r="E24" t="s">
        <v>326</v>
      </c>
    </row>
    <row r="25" spans="1:3" ht="12.75">
      <c r="A25" s="120" t="s">
        <v>299</v>
      </c>
      <c r="C25" s="124">
        <f>SUM(C23:C24)</f>
        <v>19833772</v>
      </c>
    </row>
    <row r="27" spans="1:3" ht="20.25">
      <c r="A27" s="118" t="s">
        <v>322</v>
      </c>
      <c r="C27" s="122">
        <f>+C15+C20+C25</f>
        <v>1128588980</v>
      </c>
    </row>
    <row r="28" spans="1:3" ht="12.75">
      <c r="A28" s="120" t="s">
        <v>323</v>
      </c>
      <c r="C28" s="125">
        <v>1062599000</v>
      </c>
    </row>
    <row r="29" spans="1:3" ht="12.75">
      <c r="A29" s="120" t="s">
        <v>324</v>
      </c>
      <c r="C29" s="126">
        <f>+C27-C28</f>
        <v>65989980</v>
      </c>
    </row>
    <row r="31" ht="20.25">
      <c r="A31" s="118" t="s">
        <v>228</v>
      </c>
    </row>
    <row r="32" spans="1:5" ht="12.75">
      <c r="A32" t="s">
        <v>282</v>
      </c>
      <c r="C32" s="272">
        <v>4325606</v>
      </c>
      <c r="D32" t="s">
        <v>302</v>
      </c>
      <c r="E32" t="s">
        <v>291</v>
      </c>
    </row>
    <row r="33" spans="1:5" ht="12.75">
      <c r="A33" t="s">
        <v>285</v>
      </c>
      <c r="C33" s="272">
        <v>27780831</v>
      </c>
      <c r="D33" t="s">
        <v>290</v>
      </c>
      <c r="E33" t="s">
        <v>301</v>
      </c>
    </row>
    <row r="34" spans="1:5" ht="12.75">
      <c r="A34" t="s">
        <v>292</v>
      </c>
      <c r="C34" s="272">
        <v>323945</v>
      </c>
      <c r="D34" t="s">
        <v>295</v>
      </c>
      <c r="E34" t="s">
        <v>303</v>
      </c>
    </row>
    <row r="35" spans="1:3" ht="12.75">
      <c r="A35" s="120" t="s">
        <v>304</v>
      </c>
      <c r="C35" s="121">
        <f>SUM(C32:C34)</f>
        <v>32430382</v>
      </c>
    </row>
    <row r="36" spans="1:3" ht="12.75">
      <c r="A36" s="120" t="s">
        <v>323</v>
      </c>
      <c r="C36" s="125">
        <v>51951000</v>
      </c>
    </row>
    <row r="37" spans="1:3" ht="12.75">
      <c r="A37" s="120" t="s">
        <v>324</v>
      </c>
      <c r="C37" s="126">
        <f>+C35-C36</f>
        <v>-19520618</v>
      </c>
    </row>
    <row r="39" ht="20.25">
      <c r="A39" s="118" t="s">
        <v>325</v>
      </c>
    </row>
    <row r="40" spans="1:5" ht="12.75">
      <c r="A40" t="s">
        <v>282</v>
      </c>
      <c r="C40" s="272">
        <v>39532578</v>
      </c>
      <c r="D40" t="s">
        <v>302</v>
      </c>
      <c r="E40" t="s">
        <v>305</v>
      </c>
    </row>
    <row r="41" spans="1:5" ht="12.75">
      <c r="A41" t="s">
        <v>306</v>
      </c>
      <c r="C41" s="272">
        <v>449936169</v>
      </c>
      <c r="D41" t="s">
        <v>290</v>
      </c>
      <c r="E41" t="s">
        <v>307</v>
      </c>
    </row>
    <row r="42" spans="1:5" ht="12.75">
      <c r="A42" t="s">
        <v>309</v>
      </c>
      <c r="C42" s="272">
        <v>2960596</v>
      </c>
      <c r="D42" t="s">
        <v>295</v>
      </c>
      <c r="E42" t="s">
        <v>308</v>
      </c>
    </row>
    <row r="43" spans="1:5" ht="12.75">
      <c r="A43" t="s">
        <v>310</v>
      </c>
      <c r="C43" s="272">
        <v>-35103</v>
      </c>
      <c r="D43" t="s">
        <v>290</v>
      </c>
      <c r="E43" t="s">
        <v>311</v>
      </c>
    </row>
    <row r="44" spans="1:9" ht="12.75">
      <c r="A44" s="120" t="s">
        <v>312</v>
      </c>
      <c r="C44" s="121">
        <f>SUM(C40:C43)</f>
        <v>492394240</v>
      </c>
      <c r="D44" s="273"/>
      <c r="E44" s="274"/>
      <c r="F44" s="275"/>
      <c r="G44" s="275"/>
      <c r="H44" s="275"/>
      <c r="I44" s="275"/>
    </row>
    <row r="45" spans="1:9" ht="12.75">
      <c r="A45" s="120" t="s">
        <v>323</v>
      </c>
      <c r="C45" s="125">
        <v>474790000</v>
      </c>
      <c r="D45" s="273"/>
      <c r="E45" s="274"/>
      <c r="F45" s="275"/>
      <c r="G45" s="275"/>
      <c r="H45" s="275"/>
      <c r="I45" s="275"/>
    </row>
    <row r="46" spans="1:3" ht="12.75">
      <c r="A46" s="120" t="s">
        <v>324</v>
      </c>
      <c r="C46" s="126">
        <f>+C44-C45</f>
        <v>17604240</v>
      </c>
    </row>
    <row r="48" ht="20.25">
      <c r="A48" s="118" t="s">
        <v>313</v>
      </c>
    </row>
    <row r="49" spans="1:5" ht="12.75">
      <c r="A49" t="s">
        <v>282</v>
      </c>
      <c r="C49" s="272">
        <v>41678633</v>
      </c>
      <c r="D49" t="s">
        <v>302</v>
      </c>
      <c r="E49" t="s">
        <v>305</v>
      </c>
    </row>
    <row r="50" spans="1:5" ht="12.75">
      <c r="A50" t="s">
        <v>306</v>
      </c>
      <c r="C50" s="272">
        <v>320336401</v>
      </c>
      <c r="D50" t="s">
        <v>290</v>
      </c>
      <c r="E50" t="s">
        <v>315</v>
      </c>
    </row>
    <row r="51" spans="1:5" ht="12.75">
      <c r="A51" t="s">
        <v>309</v>
      </c>
      <c r="C51" s="272">
        <v>3121314</v>
      </c>
      <c r="D51" t="s">
        <v>295</v>
      </c>
      <c r="E51" t="s">
        <v>308</v>
      </c>
    </row>
    <row r="52" spans="1:5" ht="12.75">
      <c r="A52" t="s">
        <v>310</v>
      </c>
      <c r="C52" s="272">
        <v>-37007</v>
      </c>
      <c r="D52" t="s">
        <v>290</v>
      </c>
      <c r="E52" t="s">
        <v>311</v>
      </c>
    </row>
    <row r="53" spans="1:4" ht="12.75">
      <c r="A53" s="120" t="s">
        <v>314</v>
      </c>
      <c r="C53" s="121">
        <f>SUM(C49:C52)</f>
        <v>365099341</v>
      </c>
      <c r="D53" s="127"/>
    </row>
    <row r="54" spans="1:4" ht="12.75">
      <c r="A54" s="120" t="s">
        <v>323</v>
      </c>
      <c r="C54" s="125">
        <v>500564442</v>
      </c>
      <c r="D54" s="127"/>
    </row>
    <row r="55" spans="1:3" ht="12.75">
      <c r="A55" s="120" t="s">
        <v>324</v>
      </c>
      <c r="C55" s="126">
        <f>+C53-C54</f>
        <v>-135465101</v>
      </c>
    </row>
    <row r="57" ht="20.25">
      <c r="A57" s="118" t="s">
        <v>316</v>
      </c>
    </row>
    <row r="58" spans="1:5" ht="12.75">
      <c r="A58" t="s">
        <v>282</v>
      </c>
      <c r="C58" s="272">
        <v>4066208</v>
      </c>
      <c r="D58" t="s">
        <v>302</v>
      </c>
      <c r="E58" t="s">
        <v>305</v>
      </c>
    </row>
    <row r="59" spans="1:5" ht="12.75">
      <c r="A59" t="s">
        <v>306</v>
      </c>
      <c r="C59" s="272">
        <v>13061772</v>
      </c>
      <c r="D59" t="s">
        <v>290</v>
      </c>
      <c r="E59" t="s">
        <v>307</v>
      </c>
    </row>
    <row r="60" spans="1:5" ht="12.75">
      <c r="A60" t="s">
        <v>309</v>
      </c>
      <c r="C60" s="272">
        <v>304518</v>
      </c>
      <c r="D60" t="s">
        <v>295</v>
      </c>
      <c r="E60" t="s">
        <v>308</v>
      </c>
    </row>
    <row r="61" spans="1:5" ht="12.75">
      <c r="A61" t="s">
        <v>310</v>
      </c>
      <c r="C61" s="272">
        <v>-3610</v>
      </c>
      <c r="D61" t="s">
        <v>290</v>
      </c>
      <c r="E61" t="s">
        <v>311</v>
      </c>
    </row>
    <row r="62" spans="1:4" ht="12.75">
      <c r="A62" s="120" t="s">
        <v>317</v>
      </c>
      <c r="C62" s="121">
        <f>SUM(C58:C61)</f>
        <v>17428888</v>
      </c>
      <c r="D62" s="127"/>
    </row>
    <row r="63" spans="1:3" ht="12.75">
      <c r="A63" s="120" t="s">
        <v>323</v>
      </c>
      <c r="C63" s="125">
        <v>48835558</v>
      </c>
    </row>
    <row r="64" spans="1:3" ht="12.75">
      <c r="A64" s="120" t="s">
        <v>324</v>
      </c>
      <c r="C64" s="126">
        <f>+C62-C63</f>
        <v>-31406670</v>
      </c>
    </row>
    <row r="66" ht="20.25">
      <c r="A66" s="118" t="s">
        <v>196</v>
      </c>
    </row>
    <row r="67" spans="1:5" ht="12.75">
      <c r="A67" t="s">
        <v>282</v>
      </c>
      <c r="C67" s="272">
        <v>3049656</v>
      </c>
      <c r="D67" t="s">
        <v>302</v>
      </c>
      <c r="E67" t="s">
        <v>305</v>
      </c>
    </row>
    <row r="68" spans="1:5" ht="12.75">
      <c r="A68" t="s">
        <v>306</v>
      </c>
      <c r="C68" s="272">
        <v>9796329</v>
      </c>
      <c r="D68" t="s">
        <v>290</v>
      </c>
      <c r="E68" t="s">
        <v>307</v>
      </c>
    </row>
    <row r="69" spans="1:5" ht="12.75">
      <c r="A69" t="s">
        <v>309</v>
      </c>
      <c r="C69" s="272">
        <v>228389</v>
      </c>
      <c r="D69" t="s">
        <v>295</v>
      </c>
      <c r="E69" t="s">
        <v>308</v>
      </c>
    </row>
    <row r="70" spans="1:5" ht="12.75">
      <c r="A70" t="s">
        <v>310</v>
      </c>
      <c r="C70" s="272">
        <v>-2708</v>
      </c>
      <c r="D70" t="s">
        <v>290</v>
      </c>
      <c r="E70" t="s">
        <v>311</v>
      </c>
    </row>
    <row r="71" spans="1:4" ht="12.75">
      <c r="A71" s="120" t="s">
        <v>318</v>
      </c>
      <c r="C71" s="121">
        <f>SUM(C67:C70)</f>
        <v>13071666</v>
      </c>
      <c r="D71" s="127"/>
    </row>
    <row r="72" spans="1:3" ht="12.75">
      <c r="A72" s="120" t="s">
        <v>323</v>
      </c>
      <c r="C72" s="125">
        <v>36626668</v>
      </c>
    </row>
    <row r="73" spans="1:3" ht="12.75">
      <c r="A73" s="120" t="s">
        <v>324</v>
      </c>
      <c r="C73" s="126">
        <f>+C71-C72</f>
        <v>-23555002</v>
      </c>
    </row>
    <row r="75" ht="20.25">
      <c r="A75" s="118" t="s">
        <v>319</v>
      </c>
    </row>
    <row r="76" spans="1:5" ht="12.75">
      <c r="A76" t="s">
        <v>282</v>
      </c>
      <c r="C76" s="272">
        <v>42695185</v>
      </c>
      <c r="D76" t="s">
        <v>302</v>
      </c>
      <c r="E76" t="s">
        <v>305</v>
      </c>
    </row>
    <row r="77" spans="1:5" ht="12.75">
      <c r="A77" t="s">
        <v>306</v>
      </c>
      <c r="C77" s="272">
        <v>565827893</v>
      </c>
      <c r="D77" t="s">
        <v>290</v>
      </c>
      <c r="E77" t="s">
        <v>307</v>
      </c>
    </row>
    <row r="78" spans="1:5" ht="12.75">
      <c r="A78" t="s">
        <v>309</v>
      </c>
      <c r="C78" s="272">
        <v>3197445</v>
      </c>
      <c r="D78" t="s">
        <v>295</v>
      </c>
      <c r="E78" t="s">
        <v>308</v>
      </c>
    </row>
    <row r="79" spans="1:5" ht="12.75">
      <c r="A79" t="s">
        <v>310</v>
      </c>
      <c r="C79" s="272">
        <v>-37911</v>
      </c>
      <c r="D79" t="s">
        <v>290</v>
      </c>
      <c r="E79" t="s">
        <v>311</v>
      </c>
    </row>
    <row r="80" spans="1:3" ht="12.75">
      <c r="A80" s="120" t="s">
        <v>320</v>
      </c>
      <c r="C80" s="121">
        <f>SUM(C76:C79)</f>
        <v>611682612</v>
      </c>
    </row>
    <row r="81" spans="1:4" ht="12.75">
      <c r="A81" s="120" t="s">
        <v>323</v>
      </c>
      <c r="C81" s="125">
        <f>1098800000-C54-C63-C72</f>
        <v>512773332</v>
      </c>
      <c r="D81" s="127"/>
    </row>
    <row r="82" spans="1:3" ht="12.75">
      <c r="A82" s="120" t="s">
        <v>324</v>
      </c>
      <c r="C82" s="126">
        <f>+C80-C81</f>
        <v>98909280</v>
      </c>
    </row>
    <row r="84" spans="1:3" s="5" customFormat="1" ht="18">
      <c r="A84" s="114" t="s">
        <v>321</v>
      </c>
      <c r="C84" s="123">
        <f>+C6+C15+C20+C25+C35+C44+C53+C62+C71+C80</f>
        <v>2834959937</v>
      </c>
    </row>
    <row r="89" ht="12.75">
      <c r="D89" s="127"/>
    </row>
  </sheetData>
  <sheetProtection/>
  <mergeCells count="1">
    <mergeCell ref="A1:G1"/>
  </mergeCells>
  <printOptions/>
  <pageMargins left="0.4" right="0.34" top="1" bottom="0.59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14" sqref="A14"/>
    </sheetView>
  </sheetViews>
  <sheetFormatPr defaultColWidth="11.421875" defaultRowHeight="12.75"/>
  <cols>
    <col min="2" max="2" width="31.421875" style="0" customWidth="1"/>
    <col min="3" max="3" width="22.57421875" style="119" customWidth="1"/>
    <col min="4" max="4" width="19.7109375" style="0" customWidth="1"/>
    <col min="6" max="7" width="11.421875" style="0" hidden="1" customWidth="1"/>
  </cols>
  <sheetData>
    <row r="1" spans="1:7" s="118" customFormat="1" ht="21" thickBot="1">
      <c r="A1" s="328" t="s">
        <v>467</v>
      </c>
      <c r="B1" s="329"/>
      <c r="C1" s="329"/>
      <c r="D1" s="329"/>
      <c r="E1" s="329"/>
      <c r="F1" s="329"/>
      <c r="G1" s="330"/>
    </row>
    <row r="2" ht="13.5" thickTop="1"/>
    <row r="3" spans="1:3" s="130" customFormat="1" ht="19.5" customHeight="1">
      <c r="A3" s="130" t="s">
        <v>287</v>
      </c>
      <c r="C3" s="131">
        <f>+'Anexo No.1'!C6</f>
        <v>174263828</v>
      </c>
    </row>
    <row r="4" spans="1:3" s="130" customFormat="1" ht="19.5" customHeight="1">
      <c r="A4" s="130" t="s">
        <v>289</v>
      </c>
      <c r="C4" s="131">
        <f>+'Anexo No.1'!C15</f>
        <v>101583629</v>
      </c>
    </row>
    <row r="5" spans="1:3" s="130" customFormat="1" ht="19.5" customHeight="1">
      <c r="A5" s="130" t="s">
        <v>296</v>
      </c>
      <c r="C5" s="131">
        <f>+'Anexo No.1'!C20</f>
        <v>1007171579</v>
      </c>
    </row>
    <row r="6" spans="1:3" s="130" customFormat="1" ht="19.5" customHeight="1">
      <c r="A6" s="130" t="s">
        <v>298</v>
      </c>
      <c r="C6" s="131">
        <f>+'Anexo No.1'!C25</f>
        <v>19833772</v>
      </c>
    </row>
    <row r="7" spans="1:3" s="130" customFormat="1" ht="19.5" customHeight="1">
      <c r="A7" s="130" t="s">
        <v>228</v>
      </c>
      <c r="C7" s="131">
        <f>+'Anexo No.1'!C35</f>
        <v>32430382</v>
      </c>
    </row>
    <row r="8" spans="1:3" s="130" customFormat="1" ht="19.5" customHeight="1">
      <c r="A8" s="130" t="s">
        <v>325</v>
      </c>
      <c r="C8" s="132">
        <f>+'Anexo No.1'!C44</f>
        <v>492394240</v>
      </c>
    </row>
    <row r="9" spans="1:3" s="130" customFormat="1" ht="19.5" customHeight="1">
      <c r="A9" s="130" t="s">
        <v>313</v>
      </c>
      <c r="C9" s="131">
        <f>+'Anexo No.1'!C53</f>
        <v>365099341</v>
      </c>
    </row>
    <row r="10" spans="1:3" s="130" customFormat="1" ht="19.5" customHeight="1">
      <c r="A10" s="130" t="s">
        <v>316</v>
      </c>
      <c r="C10" s="131">
        <f>+'Anexo No.1'!C62</f>
        <v>17428888</v>
      </c>
    </row>
    <row r="11" spans="1:3" s="130" customFormat="1" ht="19.5" customHeight="1">
      <c r="A11" s="130" t="s">
        <v>196</v>
      </c>
      <c r="C11" s="131">
        <f>+'Anexo No.1'!C71</f>
        <v>13071666</v>
      </c>
    </row>
    <row r="12" spans="1:3" s="130" customFormat="1" ht="19.5" customHeight="1">
      <c r="A12" s="130" t="s">
        <v>319</v>
      </c>
      <c r="C12" s="131">
        <f>+'Anexo No.1'!C80</f>
        <v>611682612</v>
      </c>
    </row>
    <row r="13" spans="1:3" s="130" customFormat="1" ht="19.5" customHeight="1">
      <c r="A13" s="114" t="s">
        <v>473</v>
      </c>
      <c r="C13" s="133">
        <f>SUM(C3:C12)</f>
        <v>2834959937</v>
      </c>
    </row>
    <row r="18" ht="12.75">
      <c r="D18" s="127"/>
    </row>
  </sheetData>
  <sheetProtection/>
  <mergeCells count="1">
    <mergeCell ref="A1:G1"/>
  </mergeCells>
  <printOptions/>
  <pageMargins left="0.4" right="0.34" top="1" bottom="0.59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84"/>
  <sheetViews>
    <sheetView showGridLines="0" zoomScalePageLayoutView="0" workbookViewId="0" topLeftCell="A1">
      <pane xSplit="12" ySplit="16" topLeftCell="M27" activePane="bottomRight" state="frozen"/>
      <selection pane="topLeft" activeCell="A1" sqref="A1"/>
      <selection pane="topRight" activeCell="M1" sqref="M1"/>
      <selection pane="bottomLeft" activeCell="A17" sqref="A17"/>
      <selection pane="bottomRight" activeCell="G40" sqref="G40"/>
    </sheetView>
  </sheetViews>
  <sheetFormatPr defaultColWidth="11.421875" defaultRowHeight="12.75"/>
  <cols>
    <col min="1" max="1" width="25.8515625" style="184" customWidth="1"/>
    <col min="2" max="2" width="13.00390625" style="184" customWidth="1"/>
    <col min="3" max="4" width="11.8515625" style="184" hidden="1" customWidth="1"/>
    <col min="5" max="6" width="10.57421875" style="184" hidden="1" customWidth="1"/>
    <col min="7" max="7" width="11.140625" style="184" customWidth="1"/>
    <col min="8" max="8" width="11.00390625" style="184" customWidth="1"/>
    <col min="9" max="9" width="11.7109375" style="184" customWidth="1"/>
    <col min="10" max="10" width="12.421875" style="184" hidden="1" customWidth="1"/>
    <col min="11" max="11" width="10.8515625" style="184" customWidth="1"/>
    <col min="12" max="12" width="12.421875" style="184" hidden="1" customWidth="1"/>
    <col min="13" max="13" width="10.28125" style="184" customWidth="1"/>
    <col min="14" max="14" width="11.00390625" style="184" customWidth="1"/>
    <col min="15" max="15" width="10.00390625" style="184" customWidth="1"/>
    <col min="16" max="16" width="9.8515625" style="184" customWidth="1"/>
    <col min="17" max="17" width="10.00390625" style="184" customWidth="1"/>
    <col min="18" max="18" width="10.8515625" style="184" customWidth="1"/>
    <col min="19" max="19" width="10.57421875" style="184" customWidth="1"/>
    <col min="20" max="20" width="10.7109375" style="184" customWidth="1"/>
    <col min="21" max="21" width="12.00390625" style="184" customWidth="1"/>
    <col min="22" max="22" width="18.28125" style="184" hidden="1" customWidth="1"/>
    <col min="23" max="23" width="11.421875" style="184" customWidth="1"/>
    <col min="24" max="24" width="8.7109375" style="184" hidden="1" customWidth="1"/>
    <col min="25" max="25" width="11.421875" style="184" customWidth="1"/>
    <col min="26" max="26" width="14.57421875" style="184" hidden="1" customWidth="1"/>
    <col min="27" max="16384" width="11.421875" style="184" customWidth="1"/>
  </cols>
  <sheetData>
    <row r="1" spans="1:26" s="155" customFormat="1" ht="12">
      <c r="A1" s="148"/>
      <c r="B1" s="149"/>
      <c r="C1" s="149" t="s">
        <v>339</v>
      </c>
      <c r="D1" s="149"/>
      <c r="E1" s="150"/>
      <c r="F1" s="150"/>
      <c r="G1" s="151"/>
      <c r="H1" s="152" t="s">
        <v>340</v>
      </c>
      <c r="I1" s="153" t="s">
        <v>341</v>
      </c>
      <c r="J1" s="153" t="s">
        <v>342</v>
      </c>
      <c r="K1" s="153" t="s">
        <v>342</v>
      </c>
      <c r="L1" s="153" t="s">
        <v>343</v>
      </c>
      <c r="M1" s="153" t="s">
        <v>342</v>
      </c>
      <c r="N1" s="153" t="s">
        <v>343</v>
      </c>
      <c r="O1" s="153" t="s">
        <v>343</v>
      </c>
      <c r="P1" s="153" t="s">
        <v>110</v>
      </c>
      <c r="Q1" s="153" t="s">
        <v>344</v>
      </c>
      <c r="R1" s="153" t="s">
        <v>344</v>
      </c>
      <c r="S1" s="153" t="s">
        <v>344</v>
      </c>
      <c r="T1" s="153" t="s">
        <v>344</v>
      </c>
      <c r="U1" s="153" t="s">
        <v>344</v>
      </c>
      <c r="V1" s="153" t="s">
        <v>345</v>
      </c>
      <c r="W1" s="153" t="s">
        <v>346</v>
      </c>
      <c r="X1" s="153" t="s">
        <v>347</v>
      </c>
      <c r="Y1" s="154" t="s">
        <v>348</v>
      </c>
      <c r="Z1" s="154" t="s">
        <v>349</v>
      </c>
    </row>
    <row r="2" spans="1:26" s="148" customFormat="1" ht="12">
      <c r="A2" s="156"/>
      <c r="B2" s="157"/>
      <c r="C2" s="157" t="s">
        <v>350</v>
      </c>
      <c r="D2" s="157"/>
      <c r="E2" s="157"/>
      <c r="F2" s="157"/>
      <c r="G2" s="158" t="s">
        <v>351</v>
      </c>
      <c r="H2" s="159" t="s">
        <v>352</v>
      </c>
      <c r="I2" s="160" t="s">
        <v>353</v>
      </c>
      <c r="J2" s="160" t="s">
        <v>354</v>
      </c>
      <c r="K2" s="160" t="s">
        <v>355</v>
      </c>
      <c r="L2" s="160" t="s">
        <v>354</v>
      </c>
      <c r="M2" s="160" t="s">
        <v>354</v>
      </c>
      <c r="N2" s="160" t="s">
        <v>355</v>
      </c>
      <c r="O2" s="160" t="s">
        <v>354</v>
      </c>
      <c r="P2" s="160" t="s">
        <v>356</v>
      </c>
      <c r="Q2" s="160" t="s">
        <v>357</v>
      </c>
      <c r="R2" s="160" t="s">
        <v>358</v>
      </c>
      <c r="S2" s="160" t="s">
        <v>359</v>
      </c>
      <c r="T2" s="160" t="s">
        <v>360</v>
      </c>
      <c r="U2" s="153" t="s">
        <v>361</v>
      </c>
      <c r="V2" s="161"/>
      <c r="W2" s="160" t="s">
        <v>362</v>
      </c>
      <c r="X2" s="160" t="s">
        <v>363</v>
      </c>
      <c r="Y2" s="162" t="s">
        <v>364</v>
      </c>
      <c r="Z2" s="162" t="s">
        <v>365</v>
      </c>
    </row>
    <row r="3" spans="1:26" s="174" customFormat="1" ht="12">
      <c r="A3" s="163" t="s">
        <v>366</v>
      </c>
      <c r="B3" s="164" t="s">
        <v>367</v>
      </c>
      <c r="C3" s="165" t="s">
        <v>366</v>
      </c>
      <c r="D3" s="166"/>
      <c r="E3" s="167" t="s">
        <v>368</v>
      </c>
      <c r="F3" s="164"/>
      <c r="G3" s="168"/>
      <c r="H3" s="169"/>
      <c r="I3" s="170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2"/>
      <c r="Z3" s="173"/>
    </row>
    <row r="4" spans="1:27" s="174" customFormat="1" ht="15.75" customHeight="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6"/>
      <c r="AA4" s="174" t="s">
        <v>452</v>
      </c>
    </row>
    <row r="5" spans="1:27" s="174" customFormat="1" ht="15.75" customHeight="1">
      <c r="A5" s="175" t="s">
        <v>369</v>
      </c>
      <c r="B5" s="175" t="s">
        <v>370</v>
      </c>
      <c r="C5" s="175">
        <v>598586</v>
      </c>
      <c r="D5" s="175">
        <f>ROUND(C5*5.5/100,0)</f>
        <v>32922</v>
      </c>
      <c r="E5" s="175"/>
      <c r="F5" s="175"/>
      <c r="G5" s="175">
        <f>SUM(C5:E5)</f>
        <v>631508</v>
      </c>
      <c r="H5" s="175">
        <f>+G5*106%</f>
        <v>669398.48</v>
      </c>
      <c r="I5" s="175">
        <f>ROUND(H5*12,0)</f>
        <v>8032782</v>
      </c>
      <c r="J5" s="175">
        <f>ROUND(I5*4%,0)</f>
        <v>321311</v>
      </c>
      <c r="K5" s="175">
        <f>ROUND($I5*8.5%,0)</f>
        <v>682786</v>
      </c>
      <c r="L5" s="175">
        <f>ROUND($I5*3.875%,0)</f>
        <v>311270</v>
      </c>
      <c r="M5" s="175">
        <f>ROUND($I5*4%,0)</f>
        <v>321311</v>
      </c>
      <c r="N5" s="175">
        <f>ROUND($I5*12%,0)</f>
        <v>963934</v>
      </c>
      <c r="O5" s="175">
        <f>ROUND($I5*4%,0)</f>
        <v>321311</v>
      </c>
      <c r="P5" s="175">
        <f>ROUND($I5*0.522%,0)</f>
        <v>41931</v>
      </c>
      <c r="Q5" s="175">
        <f>ROUND($I5*0.5%,0)</f>
        <v>40164</v>
      </c>
      <c r="R5" s="175">
        <f>ROUND($I5*3%,0)</f>
        <v>240983</v>
      </c>
      <c r="S5" s="175">
        <f>ROUND($I5*0.5%,0)</f>
        <v>40164</v>
      </c>
      <c r="T5" s="175">
        <f>ROUND($I5*1%,0)</f>
        <v>80328</v>
      </c>
      <c r="U5" s="175">
        <f>ROUND(I5*4%,0)</f>
        <v>321311</v>
      </c>
      <c r="V5" s="175">
        <f>H5+Z5+X5</f>
        <v>753267.3533333333</v>
      </c>
      <c r="W5" s="175">
        <f>ROUND(H5/2,0)</f>
        <v>334699</v>
      </c>
      <c r="X5" s="175">
        <f>ROUND(W5/12,0)</f>
        <v>27892</v>
      </c>
      <c r="Y5" s="175">
        <f>ROUND(X5/12,0)+H5</f>
        <v>671722.48</v>
      </c>
      <c r="Z5" s="176">
        <f>Y5/12</f>
        <v>55976.87333333333</v>
      </c>
      <c r="AA5" s="174">
        <f>671722/30*20</f>
        <v>447814.6666666667</v>
      </c>
    </row>
    <row r="6" spans="1:26" s="174" customFormat="1" ht="15" customHeight="1">
      <c r="A6" s="177" t="s">
        <v>180</v>
      </c>
      <c r="B6" s="177"/>
      <c r="C6" s="177">
        <f>SUM(C5)</f>
        <v>598586</v>
      </c>
      <c r="D6" s="177"/>
      <c r="E6" s="177">
        <f>SUM(E4:E5)</f>
        <v>0</v>
      </c>
      <c r="F6" s="177"/>
      <c r="G6" s="177">
        <f>SUM(G4:G5)</f>
        <v>631508</v>
      </c>
      <c r="H6" s="177">
        <f>SUM(H4:H5)</f>
        <v>669398.48</v>
      </c>
      <c r="I6" s="177">
        <f aca="true" t="shared" si="0" ref="I6:T6">SUM(I4:I5)</f>
        <v>8032782</v>
      </c>
      <c r="J6" s="177">
        <f t="shared" si="0"/>
        <v>321311</v>
      </c>
      <c r="K6" s="177">
        <f t="shared" si="0"/>
        <v>682786</v>
      </c>
      <c r="L6" s="177">
        <f t="shared" si="0"/>
        <v>311270</v>
      </c>
      <c r="M6" s="177">
        <f>SUM(M5)</f>
        <v>321311</v>
      </c>
      <c r="N6" s="177">
        <f t="shared" si="0"/>
        <v>963934</v>
      </c>
      <c r="O6" s="177">
        <f>SUM(O5)</f>
        <v>321311</v>
      </c>
      <c r="P6" s="177">
        <f t="shared" si="0"/>
        <v>41931</v>
      </c>
      <c r="Q6" s="177">
        <f t="shared" si="0"/>
        <v>40164</v>
      </c>
      <c r="R6" s="177">
        <f t="shared" si="0"/>
        <v>240983</v>
      </c>
      <c r="S6" s="177">
        <f t="shared" si="0"/>
        <v>40164</v>
      </c>
      <c r="T6" s="177">
        <f t="shared" si="0"/>
        <v>80328</v>
      </c>
      <c r="U6" s="177">
        <f>SUM(U4:U5)</f>
        <v>321311</v>
      </c>
      <c r="V6" s="177"/>
      <c r="W6" s="177">
        <f>SUM(W4:W5)</f>
        <v>334699</v>
      </c>
      <c r="X6" s="177">
        <f>SUM(X4:X5)</f>
        <v>27892</v>
      </c>
      <c r="Y6" s="177">
        <f>SUM(Y4:Y5)</f>
        <v>671722.48</v>
      </c>
      <c r="Z6" s="178">
        <f>SUM(Z4:Z5)</f>
        <v>55976.87333333333</v>
      </c>
    </row>
    <row r="7" spans="2:26" s="174" customFormat="1" ht="12">
      <c r="B7" s="179"/>
      <c r="C7" s="179"/>
      <c r="D7" s="179"/>
      <c r="E7" s="179"/>
      <c r="F7" s="179"/>
      <c r="G7" s="179"/>
      <c r="H7" s="179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</row>
    <row r="8" spans="1:26" s="174" customFormat="1" ht="12">
      <c r="A8" s="163" t="s">
        <v>371</v>
      </c>
      <c r="B8" s="181"/>
      <c r="C8" s="165" t="s">
        <v>371</v>
      </c>
      <c r="D8" s="166"/>
      <c r="E8" s="167" t="s">
        <v>368</v>
      </c>
      <c r="F8" s="164"/>
      <c r="G8" s="170"/>
      <c r="H8" s="170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2"/>
      <c r="Z8" s="173"/>
    </row>
    <row r="9" spans="1:26" s="174" customFormat="1" ht="12.75">
      <c r="A9" s="175" t="s">
        <v>372</v>
      </c>
      <c r="B9" s="175" t="s">
        <v>373</v>
      </c>
      <c r="C9" s="175">
        <v>2086971</v>
      </c>
      <c r="D9" s="175">
        <f>ROUND(C9*5.5/100,0)</f>
        <v>114783</v>
      </c>
      <c r="E9" s="175"/>
      <c r="F9" s="175"/>
      <c r="G9" s="175">
        <v>2289930</v>
      </c>
      <c r="H9" s="175">
        <f>+G9*106%</f>
        <v>2427325.8000000003</v>
      </c>
      <c r="I9" s="175">
        <f>ROUND(H9*12,0)</f>
        <v>29127910</v>
      </c>
      <c r="J9" s="175">
        <f>ROUND(I9*4%,0)</f>
        <v>1165116</v>
      </c>
      <c r="K9" s="175">
        <f>ROUND($I9*8.5%,0)</f>
        <v>2475872</v>
      </c>
      <c r="L9" s="175">
        <f>ROUND($I9*3.875%,0)</f>
        <v>1128707</v>
      </c>
      <c r="M9" s="175">
        <f>ROUND($I9*4%,0)</f>
        <v>1165116</v>
      </c>
      <c r="N9" s="175">
        <f>ROUND($I9*12%,0)</f>
        <v>3495349</v>
      </c>
      <c r="O9" s="175">
        <f>ROUND($I9*4%,0)</f>
        <v>1165116</v>
      </c>
      <c r="P9" s="175">
        <f>ROUND($I9*0.522%,0)</f>
        <v>152048</v>
      </c>
      <c r="Q9" s="175">
        <f>ROUND($I9*0.5%,0)</f>
        <v>145640</v>
      </c>
      <c r="R9" s="175">
        <f>ROUND($I9*3%,0)</f>
        <v>873837</v>
      </c>
      <c r="S9" s="175">
        <f>ROUND($I9*0.5%,0)</f>
        <v>145640</v>
      </c>
      <c r="T9" s="175">
        <f>ROUND($I9*1%,0)</f>
        <v>291279</v>
      </c>
      <c r="U9" s="175">
        <f>ROUND(I9*4%,0)</f>
        <v>1165116</v>
      </c>
      <c r="V9" s="175">
        <f>G9+Z9+X9</f>
        <v>2601774.4</v>
      </c>
      <c r="W9" s="175">
        <f>ROUND(H9/2,0)</f>
        <v>1213663</v>
      </c>
      <c r="X9" s="175">
        <f>ROUND(W9/12,0)</f>
        <v>101139</v>
      </c>
      <c r="Y9" s="175">
        <f>H9+X9</f>
        <v>2528464.8000000003</v>
      </c>
      <c r="Z9" s="176">
        <f>Y9/12</f>
        <v>210705.40000000002</v>
      </c>
    </row>
    <row r="10" spans="1:26" s="174" customFormat="1" ht="12.75">
      <c r="A10" s="175" t="s">
        <v>374</v>
      </c>
      <c r="B10" s="175" t="s">
        <v>375</v>
      </c>
      <c r="C10" s="175">
        <v>733285</v>
      </c>
      <c r="D10" s="175">
        <f>ROUND(C10*5.5/100,0)</f>
        <v>40331</v>
      </c>
      <c r="E10" s="175"/>
      <c r="F10" s="175"/>
      <c r="G10" s="175">
        <f>SUM(C10:E10)</f>
        <v>773616</v>
      </c>
      <c r="H10" s="175">
        <f>+G10*106%</f>
        <v>820032.9600000001</v>
      </c>
      <c r="I10" s="175">
        <f>ROUND(H10*12,0)</f>
        <v>9840396</v>
      </c>
      <c r="J10" s="175">
        <f>ROUND(I10*4%,0)</f>
        <v>393616</v>
      </c>
      <c r="K10" s="175">
        <f>ROUND($I10*8.5%,0)</f>
        <v>836434</v>
      </c>
      <c r="L10" s="175">
        <f>ROUND($I10*3.875%,0)</f>
        <v>381315</v>
      </c>
      <c r="M10" s="175">
        <f>ROUND($I10*4%,0)</f>
        <v>393616</v>
      </c>
      <c r="N10" s="175">
        <f>ROUND($I10*12%,0)</f>
        <v>1180848</v>
      </c>
      <c r="O10" s="175">
        <f>ROUND($I10*4%,0)</f>
        <v>393616</v>
      </c>
      <c r="P10" s="175">
        <f>ROUND($I10*0.522%,0)</f>
        <v>51367</v>
      </c>
      <c r="Q10" s="175">
        <f>ROUND($I10*0.5%,0)</f>
        <v>49202</v>
      </c>
      <c r="R10" s="175">
        <f>ROUND($I10*3%,0)</f>
        <v>295212</v>
      </c>
      <c r="S10" s="175">
        <f>ROUND($I10*0.5%,0)</f>
        <v>49202</v>
      </c>
      <c r="T10" s="175">
        <f>ROUND($I10*1%,0)</f>
        <v>98404</v>
      </c>
      <c r="U10" s="175">
        <f>ROUND(I10*4%,0)</f>
        <v>393616</v>
      </c>
      <c r="V10" s="175">
        <f>G10+Z10+X10</f>
        <v>878967.4133333333</v>
      </c>
      <c r="W10" s="175">
        <f>ROUND(H10/2,0)</f>
        <v>410016</v>
      </c>
      <c r="X10" s="175">
        <f>ROUND(W10/12,0)</f>
        <v>34168</v>
      </c>
      <c r="Y10" s="175">
        <f>H10+X10</f>
        <v>854200.9600000001</v>
      </c>
      <c r="Z10" s="176">
        <f>Y10/12</f>
        <v>71183.41333333334</v>
      </c>
    </row>
    <row r="11" spans="1:26" s="174" customFormat="1" ht="12.75">
      <c r="A11" s="177" t="s">
        <v>180</v>
      </c>
      <c r="B11" s="177"/>
      <c r="C11" s="177">
        <f>SUM(C9:C10)</f>
        <v>2820256</v>
      </c>
      <c r="D11" s="177"/>
      <c r="E11" s="177">
        <f>SUM(E9:E10)</f>
        <v>0</v>
      </c>
      <c r="F11" s="177"/>
      <c r="G11" s="177">
        <f>SUM(G9:G10)</f>
        <v>3063546</v>
      </c>
      <c r="H11" s="177">
        <f>SUM(H9:H10)</f>
        <v>3247358.7600000002</v>
      </c>
      <c r="I11" s="177">
        <f aca="true" t="shared" si="1" ref="I11:U11">SUM(I9:I10)</f>
        <v>38968306</v>
      </c>
      <c r="J11" s="177">
        <f t="shared" si="1"/>
        <v>1558732</v>
      </c>
      <c r="K11" s="177">
        <f t="shared" si="1"/>
        <v>3312306</v>
      </c>
      <c r="L11" s="177">
        <f t="shared" si="1"/>
        <v>1510022</v>
      </c>
      <c r="M11" s="177">
        <f>SUM(M9:M10)</f>
        <v>1558732</v>
      </c>
      <c r="N11" s="177">
        <f t="shared" si="1"/>
        <v>4676197</v>
      </c>
      <c r="O11" s="177">
        <f>SUM(O9:O10)</f>
        <v>1558732</v>
      </c>
      <c r="P11" s="177">
        <f t="shared" si="1"/>
        <v>203415</v>
      </c>
      <c r="Q11" s="177">
        <f t="shared" si="1"/>
        <v>194842</v>
      </c>
      <c r="R11" s="177">
        <f t="shared" si="1"/>
        <v>1169049</v>
      </c>
      <c r="S11" s="177">
        <f t="shared" si="1"/>
        <v>194842</v>
      </c>
      <c r="T11" s="177">
        <f t="shared" si="1"/>
        <v>389683</v>
      </c>
      <c r="U11" s="177">
        <f t="shared" si="1"/>
        <v>1558732</v>
      </c>
      <c r="V11" s="177"/>
      <c r="W11" s="177">
        <f>SUM(W9:W10)</f>
        <v>1623679</v>
      </c>
      <c r="X11" s="177">
        <f>SUM(X9:X10)</f>
        <v>135307</v>
      </c>
      <c r="Y11" s="177">
        <f>SUM(Y9:Y10)</f>
        <v>3382665.7600000002</v>
      </c>
      <c r="Z11" s="178">
        <f>SUM(Z9:Z10)</f>
        <v>281888.81333333335</v>
      </c>
    </row>
    <row r="12" spans="2:26" s="174" customFormat="1" ht="12">
      <c r="B12" s="179"/>
      <c r="C12" s="179"/>
      <c r="D12" s="179"/>
      <c r="E12" s="179"/>
      <c r="F12" s="179"/>
      <c r="G12" s="179"/>
      <c r="H12" s="179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</row>
    <row r="13" spans="1:27" ht="12.75">
      <c r="A13" s="182"/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3"/>
      <c r="AA13" s="183"/>
    </row>
    <row r="14" spans="1:26" s="155" customFormat="1" ht="13.5" customHeight="1">
      <c r="A14" s="163" t="s">
        <v>376</v>
      </c>
      <c r="B14" s="181"/>
      <c r="C14" s="166" t="s">
        <v>377</v>
      </c>
      <c r="D14" s="166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66"/>
      <c r="T14" s="181"/>
      <c r="U14" s="181"/>
      <c r="V14" s="181"/>
      <c r="W14" s="181"/>
      <c r="X14" s="181"/>
      <c r="Y14" s="169"/>
      <c r="Z14" s="185"/>
    </row>
    <row r="15" spans="1:27" ht="12.75">
      <c r="A15" s="175" t="s">
        <v>378</v>
      </c>
      <c r="B15" s="175" t="s">
        <v>379</v>
      </c>
      <c r="C15" s="175">
        <v>598586</v>
      </c>
      <c r="D15" s="175">
        <f>ROUND(C15*5.5/100,0)</f>
        <v>32922</v>
      </c>
      <c r="E15" s="175"/>
      <c r="F15" s="175"/>
      <c r="G15" s="175">
        <f>SUM(C15:E15)</f>
        <v>631508</v>
      </c>
      <c r="H15" s="175">
        <f>+G15*106%</f>
        <v>669398.48</v>
      </c>
      <c r="I15" s="175">
        <f>ROUND(H15*12,0)</f>
        <v>8032782</v>
      </c>
      <c r="J15" s="175">
        <f>ROUND(I15*4%,0)</f>
        <v>321311</v>
      </c>
      <c r="K15" s="175">
        <f>ROUND($I15*8.5%,0)</f>
        <v>682786</v>
      </c>
      <c r="L15" s="175">
        <f>ROUND($I15*3.875%,0)</f>
        <v>311270</v>
      </c>
      <c r="M15" s="175">
        <f>ROUND($I15*4%,0)</f>
        <v>321311</v>
      </c>
      <c r="N15" s="175">
        <f>ROUND($I15*12%,0)</f>
        <v>963934</v>
      </c>
      <c r="O15" s="175">
        <f>ROUND($I15*4%,0)</f>
        <v>321311</v>
      </c>
      <c r="P15" s="175">
        <f>ROUND($I15*0.522%,0)</f>
        <v>41931</v>
      </c>
      <c r="Q15" s="175">
        <f>ROUND($I15*0.5%,0)</f>
        <v>40164</v>
      </c>
      <c r="R15" s="175">
        <f>ROUND($I15*3%,0)</f>
        <v>240983</v>
      </c>
      <c r="S15" s="175">
        <f>ROUND($I15*0.5%,0)</f>
        <v>40164</v>
      </c>
      <c r="T15" s="175">
        <f>ROUND($I15*1%,0)</f>
        <v>80328</v>
      </c>
      <c r="U15" s="175">
        <f>ROUND(I15*4%,0)</f>
        <v>321311</v>
      </c>
      <c r="V15" s="175">
        <f>G15+Z15+X15</f>
        <v>717507.54</v>
      </c>
      <c r="W15" s="175">
        <f>ROUND(H15/2,0)</f>
        <v>334699</v>
      </c>
      <c r="X15" s="175">
        <f>ROUND(W15/12,0)</f>
        <v>27892</v>
      </c>
      <c r="Y15" s="175">
        <f>H15+X15</f>
        <v>697290.48</v>
      </c>
      <c r="Z15" s="176">
        <f>Y15/12</f>
        <v>58107.54</v>
      </c>
      <c r="AA15" s="183"/>
    </row>
    <row r="16" spans="1:27" ht="12.75">
      <c r="A16" s="186" t="s">
        <v>380</v>
      </c>
      <c r="B16" s="186" t="s">
        <v>379</v>
      </c>
      <c r="C16" s="175">
        <v>598586</v>
      </c>
      <c r="D16" s="175">
        <f>ROUND(C16*5.5/100,0)</f>
        <v>32922</v>
      </c>
      <c r="E16" s="186"/>
      <c r="F16" s="186"/>
      <c r="G16" s="186">
        <f>SUM(C16:E16)</f>
        <v>631508</v>
      </c>
      <c r="H16" s="175">
        <f>+G16*106%</f>
        <v>669398.48</v>
      </c>
      <c r="I16" s="175">
        <f>ROUND(H16*12,0)</f>
        <v>8032782</v>
      </c>
      <c r="J16" s="175">
        <f>ROUND(I16*4%,0)</f>
        <v>321311</v>
      </c>
      <c r="K16" s="175">
        <f>ROUND($I16*8.5%,0)</f>
        <v>682786</v>
      </c>
      <c r="L16" s="175">
        <f>ROUND($I16*3.875%,0)</f>
        <v>311270</v>
      </c>
      <c r="M16" s="175">
        <f>ROUND($I16*4%,0)</f>
        <v>321311</v>
      </c>
      <c r="N16" s="175">
        <f>ROUND($I16*12%,0)</f>
        <v>963934</v>
      </c>
      <c r="O16" s="175">
        <f>ROUND($I16*4%,0)</f>
        <v>321311</v>
      </c>
      <c r="P16" s="175">
        <f>ROUND($I16*0.522%,0)</f>
        <v>41931</v>
      </c>
      <c r="Q16" s="175">
        <f>ROUND($I16*0.5%,0)</f>
        <v>40164</v>
      </c>
      <c r="R16" s="175">
        <f>ROUND($I16*3%,0)</f>
        <v>240983</v>
      </c>
      <c r="S16" s="175">
        <f>ROUND($I16*0.5%,0)</f>
        <v>40164</v>
      </c>
      <c r="T16" s="175">
        <f>ROUND($I16*1%,0)</f>
        <v>80328</v>
      </c>
      <c r="U16" s="175">
        <f>ROUND(I16*4%,0)</f>
        <v>321311</v>
      </c>
      <c r="V16" s="175">
        <f>G16+Z16+X16</f>
        <v>717507.54</v>
      </c>
      <c r="W16" s="175">
        <f>ROUND(H16/2,0)</f>
        <v>334699</v>
      </c>
      <c r="X16" s="186">
        <f>ROUND(W16/12,0)</f>
        <v>27892</v>
      </c>
      <c r="Y16" s="175">
        <f>H16+X16</f>
        <v>697290.48</v>
      </c>
      <c r="Z16" s="176">
        <f>Y16/12</f>
        <v>58107.54</v>
      </c>
      <c r="AA16" s="183"/>
    </row>
    <row r="17" spans="1:27" ht="12.75">
      <c r="A17" s="186" t="s">
        <v>381</v>
      </c>
      <c r="B17" s="186" t="s">
        <v>382</v>
      </c>
      <c r="C17" s="175">
        <v>1209459</v>
      </c>
      <c r="D17" s="175">
        <f>ROUND(C17*5.5/100,0)</f>
        <v>66520</v>
      </c>
      <c r="E17" s="186"/>
      <c r="F17" s="186"/>
      <c r="G17" s="186">
        <f>SUM(C17:E17)</f>
        <v>1275979</v>
      </c>
      <c r="H17" s="175">
        <f>+G17*106%</f>
        <v>1352537.74</v>
      </c>
      <c r="I17" s="175">
        <f>ROUND(H17*12,0)</f>
        <v>16230453</v>
      </c>
      <c r="J17" s="175">
        <f>ROUND(I17*4%,0)</f>
        <v>649218</v>
      </c>
      <c r="K17" s="175">
        <f>ROUND($I17*8.5%,0)</f>
        <v>1379589</v>
      </c>
      <c r="L17" s="175">
        <f>ROUND($I17*3.875%,0)</f>
        <v>628930</v>
      </c>
      <c r="M17" s="175">
        <f>ROUND($I17*4%,0)</f>
        <v>649218</v>
      </c>
      <c r="N17" s="175">
        <f>ROUND($I17*12%,0)</f>
        <v>1947654</v>
      </c>
      <c r="O17" s="175">
        <f>ROUND($I17*4%,0)</f>
        <v>649218</v>
      </c>
      <c r="P17" s="175">
        <f>ROUND($I17*0.522%,0)</f>
        <v>84723</v>
      </c>
      <c r="Q17" s="175">
        <f>ROUND($I17*0.5%,0)</f>
        <v>81152</v>
      </c>
      <c r="R17" s="175">
        <f>ROUND($I17*3%,0)</f>
        <v>486914</v>
      </c>
      <c r="S17" s="175">
        <f>ROUND($I17*0.5%,0)</f>
        <v>81152</v>
      </c>
      <c r="T17" s="175">
        <f>ROUND($I17*1%,0)</f>
        <v>162305</v>
      </c>
      <c r="U17" s="175">
        <f>ROUND(I17*4%,0)</f>
        <v>649218</v>
      </c>
      <c r="V17" s="175">
        <f>G17+Z17+X17</f>
        <v>1332335</v>
      </c>
      <c r="W17" s="175">
        <f>ROUND(H17/2,0)</f>
        <v>676269</v>
      </c>
      <c r="X17" s="186">
        <f>ROUND(W17/12,0)</f>
        <v>56356</v>
      </c>
      <c r="Y17" s="175">
        <f>H17+X17</f>
        <v>1408893.74</v>
      </c>
      <c r="Z17" s="176"/>
      <c r="AA17" s="183"/>
    </row>
    <row r="18" spans="1:27" ht="12.75">
      <c r="A18" s="177" t="s">
        <v>224</v>
      </c>
      <c r="B18" s="177"/>
      <c r="C18" s="177">
        <f aca="true" t="shared" si="2" ref="C18:Y18">SUM(C15:C17)</f>
        <v>2406631</v>
      </c>
      <c r="D18" s="177">
        <f t="shared" si="2"/>
        <v>132364</v>
      </c>
      <c r="E18" s="177">
        <f t="shared" si="2"/>
        <v>0</v>
      </c>
      <c r="F18" s="177">
        <f t="shared" si="2"/>
        <v>0</v>
      </c>
      <c r="G18" s="177">
        <f t="shared" si="2"/>
        <v>2538995</v>
      </c>
      <c r="H18" s="177">
        <f t="shared" si="2"/>
        <v>2691334.7</v>
      </c>
      <c r="I18" s="177">
        <f t="shared" si="2"/>
        <v>32296017</v>
      </c>
      <c r="J18" s="177">
        <f t="shared" si="2"/>
        <v>1291840</v>
      </c>
      <c r="K18" s="177">
        <f t="shared" si="2"/>
        <v>2745161</v>
      </c>
      <c r="L18" s="177">
        <f t="shared" si="2"/>
        <v>1251470</v>
      </c>
      <c r="M18" s="177">
        <f>SUM(M15:M17)</f>
        <v>1291840</v>
      </c>
      <c r="N18" s="177">
        <f t="shared" si="2"/>
        <v>3875522</v>
      </c>
      <c r="O18" s="177">
        <f>SUM(O15:O17)</f>
        <v>1291840</v>
      </c>
      <c r="P18" s="177">
        <f t="shared" si="2"/>
        <v>168585</v>
      </c>
      <c r="Q18" s="177">
        <f t="shared" si="2"/>
        <v>161480</v>
      </c>
      <c r="R18" s="177">
        <f t="shared" si="2"/>
        <v>968880</v>
      </c>
      <c r="S18" s="177">
        <f t="shared" si="2"/>
        <v>161480</v>
      </c>
      <c r="T18" s="177">
        <f t="shared" si="2"/>
        <v>322961</v>
      </c>
      <c r="U18" s="177">
        <f t="shared" si="2"/>
        <v>1291840</v>
      </c>
      <c r="V18" s="177">
        <f t="shared" si="2"/>
        <v>2767350.08</v>
      </c>
      <c r="W18" s="177">
        <f t="shared" si="2"/>
        <v>1345667</v>
      </c>
      <c r="X18" s="177">
        <f t="shared" si="2"/>
        <v>112140</v>
      </c>
      <c r="Y18" s="177">
        <f t="shared" si="2"/>
        <v>2803474.7</v>
      </c>
      <c r="Z18" s="176"/>
      <c r="AA18" s="183"/>
    </row>
    <row r="19" spans="1:27" ht="12.75">
      <c r="A19" s="187"/>
      <c r="B19" s="186"/>
      <c r="C19" s="175"/>
      <c r="D19" s="175"/>
      <c r="E19" s="186"/>
      <c r="F19" s="186"/>
      <c r="G19" s="186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86"/>
      <c r="Y19" s="175"/>
      <c r="Z19" s="176"/>
      <c r="AA19" s="183"/>
    </row>
    <row r="20" spans="1:27" ht="12.75">
      <c r="A20" s="163" t="s">
        <v>130</v>
      </c>
      <c r="B20" s="188"/>
      <c r="C20" s="166" t="s">
        <v>130</v>
      </c>
      <c r="D20" s="189"/>
      <c r="E20" s="188"/>
      <c r="F20" s="188"/>
      <c r="G20" s="188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8"/>
      <c r="Y20" s="189"/>
      <c r="Z20" s="176"/>
      <c r="AA20" s="183"/>
    </row>
    <row r="21" spans="1:27" ht="12.75">
      <c r="A21" s="186" t="s">
        <v>383</v>
      </c>
      <c r="B21" s="186" t="s">
        <v>384</v>
      </c>
      <c r="C21" s="175">
        <v>1209459</v>
      </c>
      <c r="D21" s="175">
        <f>ROUND(C21*5.5/100,0)</f>
        <v>66520</v>
      </c>
      <c r="E21" s="186"/>
      <c r="F21" s="186"/>
      <c r="G21" s="186">
        <f>SUM(C21:E21)</f>
        <v>1275979</v>
      </c>
      <c r="H21" s="175">
        <f>+G21*106%</f>
        <v>1352537.74</v>
      </c>
      <c r="I21" s="175">
        <f>ROUND(H21*12,0)</f>
        <v>16230453</v>
      </c>
      <c r="J21" s="175">
        <f>ROUND(I21*4%,0)</f>
        <v>649218</v>
      </c>
      <c r="K21" s="175">
        <f>ROUND($I21*8.5%,0)</f>
        <v>1379589</v>
      </c>
      <c r="L21" s="175">
        <f>ROUND($I21*3.875%,0)</f>
        <v>628930</v>
      </c>
      <c r="M21" s="175">
        <f>ROUND($I21*4%,0)</f>
        <v>649218</v>
      </c>
      <c r="N21" s="175">
        <f>ROUND($I21*12%,0)</f>
        <v>1947654</v>
      </c>
      <c r="O21" s="175">
        <f>ROUND($I21*4%,0)</f>
        <v>649218</v>
      </c>
      <c r="P21" s="175">
        <f>ROUND($I21*0.522%,0)</f>
        <v>84723</v>
      </c>
      <c r="Q21" s="175">
        <f>ROUND($I21*0.5%,0)</f>
        <v>81152</v>
      </c>
      <c r="R21" s="175">
        <f>ROUND($I21*3%,0)</f>
        <v>486914</v>
      </c>
      <c r="S21" s="175">
        <f>ROUND($I21*0.5%,0)</f>
        <v>81152</v>
      </c>
      <c r="T21" s="175">
        <f>ROUND($I21*1%,0)</f>
        <v>162305</v>
      </c>
      <c r="U21" s="175">
        <f>ROUND(I21*4%,0)</f>
        <v>649218</v>
      </c>
      <c r="V21" s="175">
        <f>G21+Z21+X21</f>
        <v>1449742.8116666668</v>
      </c>
      <c r="W21" s="175">
        <f>ROUND(H21/2,0)</f>
        <v>676269</v>
      </c>
      <c r="X21" s="186">
        <f>ROUND(W21/12,0)</f>
        <v>56356</v>
      </c>
      <c r="Y21" s="175">
        <f>H21+X21</f>
        <v>1408893.74</v>
      </c>
      <c r="Z21" s="176">
        <f>Y21/12</f>
        <v>117407.81166666666</v>
      </c>
      <c r="AA21" s="183"/>
    </row>
    <row r="22" spans="1:27" ht="12.75">
      <c r="A22" s="186" t="s">
        <v>385</v>
      </c>
      <c r="B22" s="186" t="s">
        <v>379</v>
      </c>
      <c r="C22" s="175">
        <v>598586</v>
      </c>
      <c r="D22" s="175">
        <f>ROUND(C22*5.5/100,0)</f>
        <v>32922</v>
      </c>
      <c r="E22" s="186"/>
      <c r="F22" s="186"/>
      <c r="G22" s="186">
        <f>SUM(C22:E22)</f>
        <v>631508</v>
      </c>
      <c r="H22" s="175">
        <f>+G22*106%</f>
        <v>669398.48</v>
      </c>
      <c r="I22" s="175">
        <f>ROUND(H22*12,0)</f>
        <v>8032782</v>
      </c>
      <c r="J22" s="175">
        <f>ROUND(I22*4%,0)</f>
        <v>321311</v>
      </c>
      <c r="K22" s="175">
        <f>ROUND($I22*8.5%,0)</f>
        <v>682786</v>
      </c>
      <c r="L22" s="175">
        <f>ROUND($I22*3.875%,0)</f>
        <v>311270</v>
      </c>
      <c r="M22" s="175">
        <f>ROUND($I22*4%,0)</f>
        <v>321311</v>
      </c>
      <c r="N22" s="175">
        <f>ROUND($I22*12%,0)</f>
        <v>963934</v>
      </c>
      <c r="O22" s="175">
        <f>ROUND($I22*4%,0)</f>
        <v>321311</v>
      </c>
      <c r="P22" s="175">
        <f>ROUND($I22*0.522%,0)</f>
        <v>41931</v>
      </c>
      <c r="Q22" s="175">
        <f>ROUND($I22*0.5%,0)</f>
        <v>40164</v>
      </c>
      <c r="R22" s="175">
        <f>ROUND($I22*3%,0)</f>
        <v>240983</v>
      </c>
      <c r="S22" s="175">
        <f>ROUND($I22*0.5%,0)</f>
        <v>40164</v>
      </c>
      <c r="T22" s="175">
        <f>ROUND($I22*1%,0)</f>
        <v>80328</v>
      </c>
      <c r="U22" s="175">
        <f>ROUND(I22*4%,0)</f>
        <v>321311</v>
      </c>
      <c r="V22" s="175">
        <f>G22+Z22+X22</f>
        <v>717507.54</v>
      </c>
      <c r="W22" s="175">
        <f>ROUND(H22/2,0)</f>
        <v>334699</v>
      </c>
      <c r="X22" s="186">
        <f>ROUND(W22/12,0)</f>
        <v>27892</v>
      </c>
      <c r="Y22" s="175">
        <f>H22+X22</f>
        <v>697290.48</v>
      </c>
      <c r="Z22" s="176">
        <f>Y22/12</f>
        <v>58107.54</v>
      </c>
      <c r="AA22" s="183"/>
    </row>
    <row r="23" spans="1:27" ht="12.75">
      <c r="A23" s="186" t="s">
        <v>386</v>
      </c>
      <c r="B23" s="186" t="s">
        <v>379</v>
      </c>
      <c r="C23" s="175">
        <v>598586</v>
      </c>
      <c r="D23" s="175">
        <f>ROUND(C23*5.5/100,0)</f>
        <v>32922</v>
      </c>
      <c r="E23" s="186"/>
      <c r="F23" s="186"/>
      <c r="G23" s="186">
        <f>SUM(C23:E23)</f>
        <v>631508</v>
      </c>
      <c r="H23" s="175">
        <f>+G23*106%</f>
        <v>669398.48</v>
      </c>
      <c r="I23" s="175">
        <f>ROUND(H23*12,0)</f>
        <v>8032782</v>
      </c>
      <c r="J23" s="175">
        <f>ROUND(I23*4%,0)</f>
        <v>321311</v>
      </c>
      <c r="K23" s="175">
        <f>ROUND($I23*8.5%,0)</f>
        <v>682786</v>
      </c>
      <c r="L23" s="175">
        <f>ROUND($I23*3.875%,0)</f>
        <v>311270</v>
      </c>
      <c r="M23" s="175">
        <f>ROUND($I23*4%,0)</f>
        <v>321311</v>
      </c>
      <c r="N23" s="175">
        <f>ROUND($I23*12%,0)</f>
        <v>963934</v>
      </c>
      <c r="O23" s="175">
        <f>ROUND($I23*4%,0)</f>
        <v>321311</v>
      </c>
      <c r="P23" s="175">
        <f>ROUND($I23*0.522%,0)</f>
        <v>41931</v>
      </c>
      <c r="Q23" s="175">
        <f>ROUND($I23*0.5%,0)</f>
        <v>40164</v>
      </c>
      <c r="R23" s="175">
        <f>ROUND($I23*3%,0)</f>
        <v>240983</v>
      </c>
      <c r="S23" s="175">
        <f>ROUND($I23*0.5%,0)</f>
        <v>40164</v>
      </c>
      <c r="T23" s="175">
        <f>ROUND($I23*1%,0)</f>
        <v>80328</v>
      </c>
      <c r="U23" s="175">
        <f>ROUND(I23*4%,0)</f>
        <v>321311</v>
      </c>
      <c r="V23" s="175">
        <f>G23+Z23+X23</f>
        <v>717507.54</v>
      </c>
      <c r="W23" s="175">
        <f>ROUND(H23/2,0)</f>
        <v>334699</v>
      </c>
      <c r="X23" s="186">
        <f>ROUND(W23/12,0)</f>
        <v>27892</v>
      </c>
      <c r="Y23" s="175">
        <f>H23+X23</f>
        <v>697290.48</v>
      </c>
      <c r="Z23" s="176">
        <f>Y23/12</f>
        <v>58107.54</v>
      </c>
      <c r="AA23" s="183"/>
    </row>
    <row r="24" spans="1:27" ht="12.75">
      <c r="A24" s="186" t="s">
        <v>387</v>
      </c>
      <c r="B24" s="186" t="s">
        <v>379</v>
      </c>
      <c r="C24" s="175">
        <v>740269</v>
      </c>
      <c r="D24" s="175">
        <f>ROUND(C24*5.5/100,0)</f>
        <v>40715</v>
      </c>
      <c r="E24" s="186"/>
      <c r="F24" s="186"/>
      <c r="G24" s="186">
        <f>SUM(C24:E24)</f>
        <v>780984</v>
      </c>
      <c r="H24" s="175">
        <f>+G24*106%</f>
        <v>827843.04</v>
      </c>
      <c r="I24" s="175">
        <f>ROUND(H24*12,0)</f>
        <v>9934116</v>
      </c>
      <c r="J24" s="175">
        <f>ROUND(I24*4%,0)</f>
        <v>397365</v>
      </c>
      <c r="K24" s="175">
        <f>ROUND($I24*8.5%,0)</f>
        <v>844400</v>
      </c>
      <c r="L24" s="175">
        <f>ROUND($I24*3.875%,0)</f>
        <v>384947</v>
      </c>
      <c r="M24" s="175">
        <f>ROUND($I24*4%,0)</f>
        <v>397365</v>
      </c>
      <c r="N24" s="175">
        <f>ROUND($I24*12%,0)</f>
        <v>1192094</v>
      </c>
      <c r="O24" s="175">
        <f>ROUND($I24*4%,0)</f>
        <v>397365</v>
      </c>
      <c r="P24" s="175">
        <f>ROUND($I24*0.522%,0)</f>
        <v>51856</v>
      </c>
      <c r="Q24" s="175">
        <f>ROUND($I24*0.5%,0)</f>
        <v>49671</v>
      </c>
      <c r="R24" s="175">
        <f>ROUND($I24*3%,0)</f>
        <v>298023</v>
      </c>
      <c r="S24" s="175">
        <f>ROUND($I24*0.5%,0)</f>
        <v>49671</v>
      </c>
      <c r="T24" s="175">
        <f>ROUND($I24*1%,0)</f>
        <v>99341</v>
      </c>
      <c r="U24" s="175">
        <f>ROUND(I24*4%,0)</f>
        <v>397365</v>
      </c>
      <c r="V24" s="175">
        <f>G24+Z24+X24</f>
        <v>887339.42</v>
      </c>
      <c r="W24" s="175">
        <f>ROUND(H24/2,0)</f>
        <v>413922</v>
      </c>
      <c r="X24" s="186">
        <f>ROUND(W24/12,0)</f>
        <v>34494</v>
      </c>
      <c r="Y24" s="175">
        <f>H24+X24</f>
        <v>862337.04</v>
      </c>
      <c r="Z24" s="176">
        <f>Y24/12</f>
        <v>71861.42</v>
      </c>
      <c r="AA24" s="183"/>
    </row>
    <row r="25" spans="1:27" ht="12.75">
      <c r="A25" s="177" t="s">
        <v>224</v>
      </c>
      <c r="B25" s="177"/>
      <c r="C25" s="177">
        <f aca="true" t="shared" si="3" ref="C25:Y25">SUM(C21:C24)</f>
        <v>3146900</v>
      </c>
      <c r="D25" s="177">
        <f t="shared" si="3"/>
        <v>173079</v>
      </c>
      <c r="E25" s="177">
        <f t="shared" si="3"/>
        <v>0</v>
      </c>
      <c r="F25" s="177">
        <f t="shared" si="3"/>
        <v>0</v>
      </c>
      <c r="G25" s="177">
        <f t="shared" si="3"/>
        <v>3319979</v>
      </c>
      <c r="H25" s="177">
        <f t="shared" si="3"/>
        <v>3519177.74</v>
      </c>
      <c r="I25" s="177">
        <f t="shared" si="3"/>
        <v>42230133</v>
      </c>
      <c r="J25" s="177">
        <f t="shared" si="3"/>
        <v>1689205</v>
      </c>
      <c r="K25" s="177">
        <f t="shared" si="3"/>
        <v>3589561</v>
      </c>
      <c r="L25" s="177">
        <f t="shared" si="3"/>
        <v>1636417</v>
      </c>
      <c r="M25" s="177">
        <f>SUM(M21:M24)</f>
        <v>1689205</v>
      </c>
      <c r="N25" s="177">
        <f t="shared" si="3"/>
        <v>5067616</v>
      </c>
      <c r="O25" s="177">
        <f>SUM(O21:O24)</f>
        <v>1689205</v>
      </c>
      <c r="P25" s="177">
        <f t="shared" si="3"/>
        <v>220441</v>
      </c>
      <c r="Q25" s="177">
        <f t="shared" si="3"/>
        <v>211151</v>
      </c>
      <c r="R25" s="177">
        <f t="shared" si="3"/>
        <v>1266903</v>
      </c>
      <c r="S25" s="177">
        <f t="shared" si="3"/>
        <v>211151</v>
      </c>
      <c r="T25" s="177">
        <f t="shared" si="3"/>
        <v>422302</v>
      </c>
      <c r="U25" s="177">
        <f t="shared" si="3"/>
        <v>1689205</v>
      </c>
      <c r="V25" s="177">
        <f t="shared" si="3"/>
        <v>3772097.3116666665</v>
      </c>
      <c r="W25" s="177">
        <f t="shared" si="3"/>
        <v>1759589</v>
      </c>
      <c r="X25" s="177">
        <f t="shared" si="3"/>
        <v>146634</v>
      </c>
      <c r="Y25" s="177">
        <f t="shared" si="3"/>
        <v>3665811.7399999998</v>
      </c>
      <c r="Z25" s="176"/>
      <c r="AA25" s="183"/>
    </row>
    <row r="26" spans="1:27" ht="12.75">
      <c r="A26" s="186"/>
      <c r="B26" s="186"/>
      <c r="C26" s="175"/>
      <c r="D26" s="175"/>
      <c r="E26" s="186"/>
      <c r="F26" s="186"/>
      <c r="G26" s="186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86"/>
      <c r="Y26" s="175"/>
      <c r="Z26" s="176"/>
      <c r="AA26" s="183"/>
    </row>
    <row r="27" spans="1:27" ht="12.75">
      <c r="A27" s="190" t="s">
        <v>388</v>
      </c>
      <c r="B27" s="191"/>
      <c r="C27" s="190" t="s">
        <v>389</v>
      </c>
      <c r="D27" s="190"/>
      <c r="E27" s="190"/>
      <c r="F27" s="190"/>
      <c r="G27" s="190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2">
        <f>SUM(Z15:Z24)</f>
        <v>421699.3916666666</v>
      </c>
      <c r="AA27" s="183"/>
    </row>
    <row r="28" spans="1:27" ht="12.75">
      <c r="A28" s="186" t="s">
        <v>390</v>
      </c>
      <c r="B28" s="186" t="s">
        <v>382</v>
      </c>
      <c r="C28" s="175">
        <v>1209459</v>
      </c>
      <c r="D28" s="175">
        <f>ROUND(C28*5.5/100,0)</f>
        <v>66520</v>
      </c>
      <c r="E28" s="186"/>
      <c r="F28" s="186"/>
      <c r="G28" s="186">
        <f>SUM(C28:E28)</f>
        <v>1275979</v>
      </c>
      <c r="H28" s="175">
        <f>+G28*106%</f>
        <v>1352537.74</v>
      </c>
      <c r="I28" s="175">
        <f>ROUND(H28*12,0)</f>
        <v>16230453</v>
      </c>
      <c r="J28" s="175">
        <f>ROUND(I28*4%,0)</f>
        <v>649218</v>
      </c>
      <c r="K28" s="175">
        <f>ROUND($I28*8.5%,0)</f>
        <v>1379589</v>
      </c>
      <c r="L28" s="175">
        <f>ROUND($I28*3.875%,0)</f>
        <v>628930</v>
      </c>
      <c r="M28" s="175">
        <f>ROUND($I28*4%,0)</f>
        <v>649218</v>
      </c>
      <c r="N28" s="175">
        <f>ROUND($I28*12%,0)</f>
        <v>1947654</v>
      </c>
      <c r="O28" s="175">
        <f>ROUND($I28*4%,0)</f>
        <v>649218</v>
      </c>
      <c r="P28" s="175">
        <f>ROUND($I28*0.522%,0)</f>
        <v>84723</v>
      </c>
      <c r="Q28" s="175">
        <f>ROUND($I28*0.5%,0)</f>
        <v>81152</v>
      </c>
      <c r="R28" s="175">
        <f>ROUND($I28*3%,0)</f>
        <v>486914</v>
      </c>
      <c r="S28" s="175">
        <f>ROUND($I28*0.5%,0)</f>
        <v>81152</v>
      </c>
      <c r="T28" s="175">
        <f>ROUND($I28*1%,0)</f>
        <v>162305</v>
      </c>
      <c r="U28" s="175">
        <f>ROUND(I28*4%,0)</f>
        <v>649218</v>
      </c>
      <c r="V28" s="175">
        <f>G28+Z28+X28</f>
        <v>1449742.8116666668</v>
      </c>
      <c r="W28" s="175">
        <f>ROUND(H28/2,0)</f>
        <v>676269</v>
      </c>
      <c r="X28" s="186">
        <f>ROUND(W28/12,0)</f>
        <v>56356</v>
      </c>
      <c r="Y28" s="175">
        <f>H28+X28</f>
        <v>1408893.74</v>
      </c>
      <c r="Z28" s="176">
        <f>Y28/12</f>
        <v>117407.81166666666</v>
      </c>
      <c r="AA28" s="183"/>
    </row>
    <row r="29" spans="1:27" ht="12.75">
      <c r="A29" s="186" t="s">
        <v>391</v>
      </c>
      <c r="B29" s="186" t="s">
        <v>379</v>
      </c>
      <c r="C29" s="175">
        <v>740269</v>
      </c>
      <c r="D29" s="175">
        <f>ROUND(C29*5.5/100,0)</f>
        <v>40715</v>
      </c>
      <c r="E29" s="186"/>
      <c r="F29" s="186"/>
      <c r="G29" s="186">
        <f>SUM(C29:E29)</f>
        <v>780984</v>
      </c>
      <c r="H29" s="175">
        <f>+G29*106%</f>
        <v>827843.04</v>
      </c>
      <c r="I29" s="175">
        <f>ROUND(H29*12,0)</f>
        <v>9934116</v>
      </c>
      <c r="J29" s="175">
        <f>ROUND(I29*4%,0)</f>
        <v>397365</v>
      </c>
      <c r="K29" s="175">
        <f>ROUND($I29*8.5%,0)</f>
        <v>844400</v>
      </c>
      <c r="L29" s="175">
        <f>ROUND($I29*3.875%,0)</f>
        <v>384947</v>
      </c>
      <c r="M29" s="175">
        <f>ROUND($I29*4%,0)</f>
        <v>397365</v>
      </c>
      <c r="N29" s="175">
        <f>ROUND($I29*12%,0)</f>
        <v>1192094</v>
      </c>
      <c r="O29" s="175">
        <f>ROUND($I29*4%,0)</f>
        <v>397365</v>
      </c>
      <c r="P29" s="175">
        <f>ROUND($I29*0.522%,0)</f>
        <v>51856</v>
      </c>
      <c r="Q29" s="175">
        <f>ROUND($I29*0.5%,0)</f>
        <v>49671</v>
      </c>
      <c r="R29" s="175">
        <f>ROUND($I29*3%,0)</f>
        <v>298023</v>
      </c>
      <c r="S29" s="175">
        <f>ROUND($I29*0.5%,0)</f>
        <v>49671</v>
      </c>
      <c r="T29" s="175">
        <f>ROUND($I29*1%,0)</f>
        <v>99341</v>
      </c>
      <c r="U29" s="175">
        <f>ROUND(I29*4%,0)</f>
        <v>397365</v>
      </c>
      <c r="V29" s="175">
        <f>G29+Z29+X29</f>
        <v>887339.42</v>
      </c>
      <c r="W29" s="175">
        <f>ROUND(H29/2,0)</f>
        <v>413922</v>
      </c>
      <c r="X29" s="186">
        <f>ROUND(W29/12,0)</f>
        <v>34494</v>
      </c>
      <c r="Y29" s="175">
        <f>H29+X29</f>
        <v>862337.04</v>
      </c>
      <c r="Z29" s="176">
        <f>Y29/12</f>
        <v>71861.42</v>
      </c>
      <c r="AA29" s="183"/>
    </row>
    <row r="30" spans="1:27" ht="12.75">
      <c r="A30" s="186" t="s">
        <v>392</v>
      </c>
      <c r="B30" s="186" t="s">
        <v>379</v>
      </c>
      <c r="C30" s="175">
        <v>740269</v>
      </c>
      <c r="D30" s="175">
        <f>ROUND(C30*5.5/100,0)</f>
        <v>40715</v>
      </c>
      <c r="E30" s="186"/>
      <c r="F30" s="186"/>
      <c r="G30" s="186">
        <f>SUM(C30:E30)</f>
        <v>780984</v>
      </c>
      <c r="H30" s="175">
        <f>+G30*106%</f>
        <v>827843.04</v>
      </c>
      <c r="I30" s="175">
        <f>ROUND(H30*12,0)</f>
        <v>9934116</v>
      </c>
      <c r="J30" s="175">
        <f>ROUND(I30*4%,0)</f>
        <v>397365</v>
      </c>
      <c r="K30" s="175">
        <f>ROUND($I30*8.5%,0)</f>
        <v>844400</v>
      </c>
      <c r="L30" s="175">
        <f>ROUND($I30*3.875%,0)</f>
        <v>384947</v>
      </c>
      <c r="M30" s="175">
        <f>ROUND($I30*4%,0)</f>
        <v>397365</v>
      </c>
      <c r="N30" s="175">
        <f>ROUND($I30*12%,0)</f>
        <v>1192094</v>
      </c>
      <c r="O30" s="175">
        <f>ROUND($I30*4%,0)</f>
        <v>397365</v>
      </c>
      <c r="P30" s="175">
        <f>ROUND($I30*0.522%,0)</f>
        <v>51856</v>
      </c>
      <c r="Q30" s="175">
        <f>ROUND($I30*0.5%,0)</f>
        <v>49671</v>
      </c>
      <c r="R30" s="175">
        <f>ROUND($I30*3%,0)</f>
        <v>298023</v>
      </c>
      <c r="S30" s="175">
        <f>ROUND($I30*0.5%,0)</f>
        <v>49671</v>
      </c>
      <c r="T30" s="175">
        <f>ROUND($I30*1%,0)</f>
        <v>99341</v>
      </c>
      <c r="U30" s="175">
        <f>ROUND(I30*4%,0)</f>
        <v>397365</v>
      </c>
      <c r="V30" s="175">
        <f>G30+Z30+X30</f>
        <v>887339.42</v>
      </c>
      <c r="W30" s="175">
        <f>ROUND(H30/2,0)</f>
        <v>413922</v>
      </c>
      <c r="X30" s="186">
        <f>ROUND(W30/12,0)</f>
        <v>34494</v>
      </c>
      <c r="Y30" s="175">
        <f>H30+X30</f>
        <v>862337.04</v>
      </c>
      <c r="Z30" s="176">
        <f>Y30/12</f>
        <v>71861.42</v>
      </c>
      <c r="AA30" s="183"/>
    </row>
    <row r="31" spans="1:27" ht="12.75">
      <c r="A31" s="186" t="s">
        <v>393</v>
      </c>
      <c r="B31" s="186"/>
      <c r="C31" s="175">
        <v>555204</v>
      </c>
      <c r="D31" s="175">
        <f>ROUND(C31*5.5/100,0)</f>
        <v>30536</v>
      </c>
      <c r="E31" s="186"/>
      <c r="F31" s="186"/>
      <c r="G31" s="186">
        <f>SUM(C31:E31)</f>
        <v>585740</v>
      </c>
      <c r="H31" s="175">
        <f>+G31*106%</f>
        <v>620884.4</v>
      </c>
      <c r="I31" s="175">
        <f>ROUND(H31*12,0)</f>
        <v>7450613</v>
      </c>
      <c r="J31" s="175"/>
      <c r="K31" s="175">
        <f>ROUND($I31*8.5%,0)</f>
        <v>633302</v>
      </c>
      <c r="L31" s="175">
        <f>ROUND($I31*3.875%,0)</f>
        <v>288711</v>
      </c>
      <c r="M31" s="175">
        <f>ROUND($I31*4%,0)</f>
        <v>298025</v>
      </c>
      <c r="N31" s="175">
        <f>ROUND($I31*12%,0)</f>
        <v>894074</v>
      </c>
      <c r="O31" s="175">
        <f>ROUND($I31*4%,0)</f>
        <v>298025</v>
      </c>
      <c r="P31" s="175">
        <f>ROUND($I31*0.522%,0)</f>
        <v>38892</v>
      </c>
      <c r="Q31" s="175">
        <f>ROUND($I31*0.5%,0)</f>
        <v>37253</v>
      </c>
      <c r="R31" s="175">
        <f>ROUND($I31*3%,0)</f>
        <v>223518</v>
      </c>
      <c r="S31" s="175">
        <f>ROUND($I31*0.5%,0)</f>
        <v>37253</v>
      </c>
      <c r="T31" s="175">
        <f>ROUND($I31*1%,0)</f>
        <v>74506</v>
      </c>
      <c r="U31" s="175">
        <f>ROUND(I31*4%,0)</f>
        <v>298025</v>
      </c>
      <c r="V31" s="175">
        <f>G31+Z31+X31</f>
        <v>611610</v>
      </c>
      <c r="W31" s="175">
        <f>ROUND(H31/2,0)</f>
        <v>310442</v>
      </c>
      <c r="X31" s="186">
        <f>ROUND(W31/12,0)</f>
        <v>25870</v>
      </c>
      <c r="Y31" s="175">
        <f>H31+X31</f>
        <v>646754.4</v>
      </c>
      <c r="Z31" s="176"/>
      <c r="AA31" s="183"/>
    </row>
    <row r="32" spans="1:27" ht="12.75">
      <c r="A32" s="186" t="s">
        <v>394</v>
      </c>
      <c r="B32" s="186" t="s">
        <v>395</v>
      </c>
      <c r="C32" s="175">
        <v>933023</v>
      </c>
      <c r="D32" s="175">
        <f>ROUND(C32*5.5/100,0)</f>
        <v>51316</v>
      </c>
      <c r="E32" s="186"/>
      <c r="F32" s="186"/>
      <c r="G32" s="186">
        <f>SUM(C32:E32)</f>
        <v>984339</v>
      </c>
      <c r="H32" s="175">
        <f>+G32*106%</f>
        <v>1043399.3400000001</v>
      </c>
      <c r="I32" s="175">
        <f>ROUND(H32*12,0)</f>
        <v>12520792</v>
      </c>
      <c r="J32" s="175">
        <f>ROUND(I32*4%,0)</f>
        <v>500832</v>
      </c>
      <c r="K32" s="175">
        <f>ROUND($I32*8.5%,0)</f>
        <v>1064267</v>
      </c>
      <c r="L32" s="175">
        <f>ROUND($I32*3.875%,0)</f>
        <v>485181</v>
      </c>
      <c r="M32" s="175">
        <f>ROUND($I32*4%,0)</f>
        <v>500832</v>
      </c>
      <c r="N32" s="175">
        <f>ROUND($I32*12%,0)</f>
        <v>1502495</v>
      </c>
      <c r="O32" s="175">
        <f>ROUND($I32*4%,0)</f>
        <v>500832</v>
      </c>
      <c r="P32" s="175">
        <f>ROUND($I32*0.522%,0)</f>
        <v>65359</v>
      </c>
      <c r="Q32" s="175">
        <f>ROUND($I32*0.5%,0)</f>
        <v>62604</v>
      </c>
      <c r="R32" s="175">
        <f>ROUND($I32*3%,0)</f>
        <v>375624</v>
      </c>
      <c r="S32" s="175">
        <f>ROUND($I32*0.5%,0)</f>
        <v>62604</v>
      </c>
      <c r="T32" s="175">
        <f>ROUND($I32*1%,0)</f>
        <v>125208</v>
      </c>
      <c r="U32" s="175">
        <f>ROUND(I32*4%,0)</f>
        <v>500832</v>
      </c>
      <c r="V32" s="175">
        <f>G32+Z32+X32</f>
        <v>1118386.8616666666</v>
      </c>
      <c r="W32" s="175">
        <f>ROUND(H32/2,0)</f>
        <v>521700</v>
      </c>
      <c r="X32" s="186">
        <f>ROUND(W32/12,0)</f>
        <v>43475</v>
      </c>
      <c r="Y32" s="175">
        <f>H32+X32</f>
        <v>1086874.34</v>
      </c>
      <c r="Z32" s="176">
        <f>Y32/12</f>
        <v>90572.86166666668</v>
      </c>
      <c r="AA32" s="183"/>
    </row>
    <row r="33" spans="1:27" ht="12.75">
      <c r="A33" s="177" t="s">
        <v>224</v>
      </c>
      <c r="B33" s="177"/>
      <c r="C33" s="177">
        <f aca="true" t="shared" si="4" ref="C33:Y33">SUM(C28:C32)</f>
        <v>4178224</v>
      </c>
      <c r="D33" s="177">
        <f t="shared" si="4"/>
        <v>229802</v>
      </c>
      <c r="E33" s="177">
        <f t="shared" si="4"/>
        <v>0</v>
      </c>
      <c r="F33" s="177">
        <f t="shared" si="4"/>
        <v>0</v>
      </c>
      <c r="G33" s="177">
        <f t="shared" si="4"/>
        <v>4408026</v>
      </c>
      <c r="H33" s="177">
        <f t="shared" si="4"/>
        <v>4672507.5600000005</v>
      </c>
      <c r="I33" s="177">
        <f t="shared" si="4"/>
        <v>56070090</v>
      </c>
      <c r="J33" s="177">
        <f t="shared" si="4"/>
        <v>1944780</v>
      </c>
      <c r="K33" s="177">
        <f t="shared" si="4"/>
        <v>4765958</v>
      </c>
      <c r="L33" s="177">
        <f t="shared" si="4"/>
        <v>2172716</v>
      </c>
      <c r="M33" s="177">
        <f t="shared" si="4"/>
        <v>2242805</v>
      </c>
      <c r="N33" s="177">
        <f t="shared" si="4"/>
        <v>6728411</v>
      </c>
      <c r="O33" s="177">
        <f t="shared" si="4"/>
        <v>2242805</v>
      </c>
      <c r="P33" s="177">
        <f t="shared" si="4"/>
        <v>292686</v>
      </c>
      <c r="Q33" s="177">
        <f t="shared" si="4"/>
        <v>280351</v>
      </c>
      <c r="R33" s="177">
        <f t="shared" si="4"/>
        <v>1682102</v>
      </c>
      <c r="S33" s="177">
        <f t="shared" si="4"/>
        <v>280351</v>
      </c>
      <c r="T33" s="177">
        <f t="shared" si="4"/>
        <v>560701</v>
      </c>
      <c r="U33" s="177">
        <f t="shared" si="4"/>
        <v>2242805</v>
      </c>
      <c r="V33" s="177">
        <f t="shared" si="4"/>
        <v>4954418.513333334</v>
      </c>
      <c r="W33" s="177">
        <f t="shared" si="4"/>
        <v>2336255</v>
      </c>
      <c r="X33" s="177">
        <f t="shared" si="4"/>
        <v>194689</v>
      </c>
      <c r="Y33" s="177">
        <f t="shared" si="4"/>
        <v>4867196.5600000005</v>
      </c>
      <c r="Z33" s="176"/>
      <c r="AA33" s="183"/>
    </row>
    <row r="34" spans="1:27" ht="12.75">
      <c r="A34" s="193"/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76"/>
      <c r="AA34" s="183"/>
    </row>
    <row r="35" spans="1:27" ht="12.75">
      <c r="A35" s="190" t="s">
        <v>396</v>
      </c>
      <c r="B35" s="195"/>
      <c r="C35" s="196" t="s">
        <v>397</v>
      </c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7"/>
      <c r="Z35" s="198"/>
      <c r="AA35" s="183"/>
    </row>
    <row r="36" spans="1:27" ht="12.75">
      <c r="A36" s="175" t="s">
        <v>398</v>
      </c>
      <c r="B36" s="175" t="s">
        <v>382</v>
      </c>
      <c r="C36" s="175">
        <v>1209459</v>
      </c>
      <c r="D36" s="175">
        <f>ROUND(C36*5.5/100,0)</f>
        <v>66520</v>
      </c>
      <c r="E36" s="175">
        <v>44500</v>
      </c>
      <c r="F36" s="175"/>
      <c r="G36" s="175">
        <f>SUM(C36:D36)</f>
        <v>1275979</v>
      </c>
      <c r="H36" s="175">
        <f>+G36*106%</f>
        <v>1352537.74</v>
      </c>
      <c r="I36" s="175">
        <f>ROUND(H36*12,0)</f>
        <v>16230453</v>
      </c>
      <c r="J36" s="175">
        <f>ROUND(I36*4%,0)</f>
        <v>649218</v>
      </c>
      <c r="K36" s="175">
        <f>ROUND($I36*8.5%,0)</f>
        <v>1379589</v>
      </c>
      <c r="L36" s="175">
        <f>ROUND($I36*3.875%,0)</f>
        <v>628930</v>
      </c>
      <c r="M36" s="175">
        <f>ROUND($I36*4%,0)</f>
        <v>649218</v>
      </c>
      <c r="N36" s="175">
        <f>ROUND($I36*12%,0)</f>
        <v>1947654</v>
      </c>
      <c r="O36" s="175">
        <f>ROUND($I36*4%,0)</f>
        <v>649218</v>
      </c>
      <c r="P36" s="175">
        <f>ROUND($I36*0.522%,0)</f>
        <v>84723</v>
      </c>
      <c r="Q36" s="175">
        <f>ROUND($I36*0.5%,0)</f>
        <v>81152</v>
      </c>
      <c r="R36" s="175">
        <f>ROUND($I36*3%,0)</f>
        <v>486914</v>
      </c>
      <c r="S36" s="175">
        <f>ROUND($I36*0.5%,0)</f>
        <v>81152</v>
      </c>
      <c r="T36" s="175">
        <f>ROUND($I36*1%,0)</f>
        <v>162305</v>
      </c>
      <c r="U36" s="175">
        <f>ROUND(I36*4%,0)</f>
        <v>649218</v>
      </c>
      <c r="V36" s="175">
        <f>G36+Z36+X36</f>
        <v>1449742.8116666668</v>
      </c>
      <c r="W36" s="175">
        <f>ROUND(H36/2,0)</f>
        <v>676269</v>
      </c>
      <c r="X36" s="175">
        <f>ROUND(W36/12,0)</f>
        <v>56356</v>
      </c>
      <c r="Y36" s="175">
        <f>H36+X36</f>
        <v>1408893.74</v>
      </c>
      <c r="Z36" s="176">
        <f>Y36/12</f>
        <v>117407.81166666666</v>
      </c>
      <c r="AA36" s="183"/>
    </row>
    <row r="37" spans="1:27" ht="12.75">
      <c r="A37" s="186" t="s">
        <v>399</v>
      </c>
      <c r="B37" s="186" t="s">
        <v>379</v>
      </c>
      <c r="C37" s="175">
        <v>598586</v>
      </c>
      <c r="D37" s="175">
        <f>ROUND(C37*5.5/100,0)</f>
        <v>32922</v>
      </c>
      <c r="E37" s="186">
        <v>44500</v>
      </c>
      <c r="F37" s="186"/>
      <c r="G37" s="186">
        <f>SUM(C37:D37)</f>
        <v>631508</v>
      </c>
      <c r="H37" s="175">
        <f>+G37*106%</f>
        <v>669398.48</v>
      </c>
      <c r="I37" s="175">
        <f>ROUND(H37*12,0)</f>
        <v>8032782</v>
      </c>
      <c r="J37" s="175">
        <f>ROUND(I37*4%,0)</f>
        <v>321311</v>
      </c>
      <c r="K37" s="175">
        <f>ROUND($I37*8.5%,0)</f>
        <v>682786</v>
      </c>
      <c r="L37" s="175">
        <f>ROUND($I37*3.875%,0)</f>
        <v>311270</v>
      </c>
      <c r="M37" s="175">
        <f>ROUND($I37*4%,0)</f>
        <v>321311</v>
      </c>
      <c r="N37" s="175">
        <f>ROUND($I37*12%,0)</f>
        <v>963934</v>
      </c>
      <c r="O37" s="175">
        <f>ROUND($I37*4%,0)</f>
        <v>321311</v>
      </c>
      <c r="P37" s="175">
        <f>ROUND($I37*0.522%,0)</f>
        <v>41931</v>
      </c>
      <c r="Q37" s="175">
        <f>ROUND($I37*0.5%,0)</f>
        <v>40164</v>
      </c>
      <c r="R37" s="175">
        <f>ROUND($I37*3%,0)</f>
        <v>240983</v>
      </c>
      <c r="S37" s="175">
        <f>ROUND($I37*0.5%,0)</f>
        <v>40164</v>
      </c>
      <c r="T37" s="175">
        <f>ROUND($I37*1%,0)</f>
        <v>80328</v>
      </c>
      <c r="U37" s="175">
        <f>ROUND(I37*4%,0)</f>
        <v>321311</v>
      </c>
      <c r="V37" s="175">
        <f>G37+Z37+X37</f>
        <v>717507.54</v>
      </c>
      <c r="W37" s="175">
        <f>ROUND(H37/2,0)</f>
        <v>334699</v>
      </c>
      <c r="X37" s="186">
        <f>ROUND(W37/12,0)</f>
        <v>27892</v>
      </c>
      <c r="Y37" s="175">
        <f>H37+X37</f>
        <v>697290.48</v>
      </c>
      <c r="Z37" s="176">
        <f>Y37/12</f>
        <v>58107.54</v>
      </c>
      <c r="AA37" s="183"/>
    </row>
    <row r="38" spans="1:27" ht="12.75">
      <c r="A38" s="186" t="s">
        <v>400</v>
      </c>
      <c r="B38" s="186" t="s">
        <v>379</v>
      </c>
      <c r="C38" s="175">
        <v>740269</v>
      </c>
      <c r="D38" s="175">
        <f>ROUND(C38*5.5/100,0)</f>
        <v>40715</v>
      </c>
      <c r="E38" s="186">
        <v>44500</v>
      </c>
      <c r="F38" s="186"/>
      <c r="G38" s="186">
        <f>SUM(C38:D38)</f>
        <v>780984</v>
      </c>
      <c r="H38" s="175">
        <f>+G38*106%</f>
        <v>827843.04</v>
      </c>
      <c r="I38" s="175">
        <f>ROUND(H38*12,0)</f>
        <v>9934116</v>
      </c>
      <c r="J38" s="175">
        <f>ROUND(I38*4%,0)</f>
        <v>397365</v>
      </c>
      <c r="K38" s="175">
        <f>ROUND($I38*8.5%,0)</f>
        <v>844400</v>
      </c>
      <c r="L38" s="175">
        <f>ROUND($I38*3.875%,0)</f>
        <v>384947</v>
      </c>
      <c r="M38" s="175">
        <f>ROUND($I38*4%,0)</f>
        <v>397365</v>
      </c>
      <c r="N38" s="175">
        <f>ROUND($I38*12%,0)</f>
        <v>1192094</v>
      </c>
      <c r="O38" s="175">
        <f>ROUND($I38*4%,0)</f>
        <v>397365</v>
      </c>
      <c r="P38" s="175">
        <f>ROUND($I38*0.522%,0)</f>
        <v>51856</v>
      </c>
      <c r="Q38" s="175">
        <f>ROUND($I38*0.5%,0)</f>
        <v>49671</v>
      </c>
      <c r="R38" s="175">
        <f>ROUND($I38*3%,0)</f>
        <v>298023</v>
      </c>
      <c r="S38" s="175">
        <f>ROUND($I38*0.5%,0)</f>
        <v>49671</v>
      </c>
      <c r="T38" s="175">
        <f>ROUND($I38*1%,0)</f>
        <v>99341</v>
      </c>
      <c r="U38" s="175">
        <f>ROUND(I38*4%,0)</f>
        <v>397365</v>
      </c>
      <c r="V38" s="175">
        <f>G38+Z38+X38</f>
        <v>887339.42</v>
      </c>
      <c r="W38" s="175">
        <f>ROUND(H38/2,0)</f>
        <v>413922</v>
      </c>
      <c r="X38" s="186">
        <f>ROUND(W38/12,0)</f>
        <v>34494</v>
      </c>
      <c r="Y38" s="175">
        <f>H38+X38</f>
        <v>862337.04</v>
      </c>
      <c r="Z38" s="176">
        <f>Y38/12</f>
        <v>71861.42</v>
      </c>
      <c r="AA38" s="183"/>
    </row>
    <row r="39" spans="1:27" ht="12.75">
      <c r="A39" s="175" t="s">
        <v>401</v>
      </c>
      <c r="B39" s="175" t="s">
        <v>402</v>
      </c>
      <c r="C39" s="175">
        <v>422530</v>
      </c>
      <c r="D39" s="175">
        <f>ROUND(C39*5.5/100,0)</f>
        <v>23239</v>
      </c>
      <c r="E39" s="175"/>
      <c r="F39" s="175"/>
      <c r="G39" s="186">
        <f>SUM(C39:D39)</f>
        <v>445769</v>
      </c>
      <c r="H39" s="175">
        <f>+G39*106%</f>
        <v>472515.14</v>
      </c>
      <c r="I39" s="175">
        <f>ROUND(H39*12,0)</f>
        <v>5670182</v>
      </c>
      <c r="J39" s="175">
        <f>ROUND(I39*4%,0)</f>
        <v>226807</v>
      </c>
      <c r="K39" s="175">
        <f>ROUND($I39*8.5%,0)</f>
        <v>481965</v>
      </c>
      <c r="L39" s="175">
        <f>ROUND($I39*3.875%,0)</f>
        <v>219720</v>
      </c>
      <c r="M39" s="175">
        <f>ROUND($I39*4%,0)</f>
        <v>226807</v>
      </c>
      <c r="N39" s="175">
        <f>ROUND($I39*12%,0)</f>
        <v>680422</v>
      </c>
      <c r="O39" s="175">
        <f>ROUND($I39*4%,0)</f>
        <v>226807</v>
      </c>
      <c r="P39" s="175">
        <f>ROUND($I39*0.522%,0)</f>
        <v>29598</v>
      </c>
      <c r="Q39" s="175">
        <f>ROUND($I39*0.5%,0)</f>
        <v>28351</v>
      </c>
      <c r="R39" s="175">
        <f>ROUND($I39*3%,0)</f>
        <v>170105</v>
      </c>
      <c r="S39" s="175">
        <f>ROUND($I39*0.5%,0)</f>
        <v>28351</v>
      </c>
      <c r="T39" s="175">
        <f>ROUND($I39*1%,0)</f>
        <v>56702</v>
      </c>
      <c r="U39" s="175">
        <f>ROUND(I39*4%,0)</f>
        <v>226807</v>
      </c>
      <c r="V39" s="175">
        <f>G39+Z39+X39</f>
        <v>465457</v>
      </c>
      <c r="W39" s="175">
        <f>ROUND(H39/2,0)</f>
        <v>236258</v>
      </c>
      <c r="X39" s="186">
        <f>ROUND(W39/12,0)</f>
        <v>19688</v>
      </c>
      <c r="Y39" s="175">
        <f>H39+X39</f>
        <v>492203.14</v>
      </c>
      <c r="Z39" s="176"/>
      <c r="AA39" s="183"/>
    </row>
    <row r="40" spans="1:27" ht="12.75">
      <c r="A40" s="175" t="s">
        <v>403</v>
      </c>
      <c r="B40" s="175" t="s">
        <v>402</v>
      </c>
      <c r="C40" s="175">
        <v>555204</v>
      </c>
      <c r="D40" s="175">
        <f>ROUND(C40*5.5/100,0)</f>
        <v>30536</v>
      </c>
      <c r="E40" s="175"/>
      <c r="F40" s="175"/>
      <c r="G40" s="175">
        <f>SUM(C40:D40)</f>
        <v>585740</v>
      </c>
      <c r="H40" s="175">
        <f>+G40*106%</f>
        <v>620884.4</v>
      </c>
      <c r="I40" s="175">
        <f>ROUND(H40*12,0)</f>
        <v>7450613</v>
      </c>
      <c r="J40" s="175">
        <f>ROUND(I40*4%,0)</f>
        <v>298025</v>
      </c>
      <c r="K40" s="175">
        <f>ROUND($I40*8.5%,0)</f>
        <v>633302</v>
      </c>
      <c r="L40" s="175">
        <f>ROUND($I40*3.875%,0)</f>
        <v>288711</v>
      </c>
      <c r="M40" s="175">
        <f>ROUND($I40*4%,0)</f>
        <v>298025</v>
      </c>
      <c r="N40" s="175">
        <f>ROUND($I40*12%,0)</f>
        <v>894074</v>
      </c>
      <c r="O40" s="175">
        <f>ROUND($I40*4%,0)</f>
        <v>298025</v>
      </c>
      <c r="P40" s="175">
        <f>ROUND($I40*0.522%,0)</f>
        <v>38892</v>
      </c>
      <c r="Q40" s="175">
        <f>ROUND($I40*0.5%,0)</f>
        <v>37253</v>
      </c>
      <c r="R40" s="175">
        <f>ROUND($I40*3%,0)</f>
        <v>223518</v>
      </c>
      <c r="S40" s="175">
        <f>ROUND($I40*0.5%,0)</f>
        <v>37253</v>
      </c>
      <c r="T40" s="175">
        <f>ROUND($I40*1%,0)</f>
        <v>74506</v>
      </c>
      <c r="U40" s="175">
        <f>ROUND(I40*4%,0)</f>
        <v>298025</v>
      </c>
      <c r="V40" s="175">
        <f>G40+Z40+X40</f>
        <v>611610</v>
      </c>
      <c r="W40" s="175">
        <f>ROUND(H40/2,0)</f>
        <v>310442</v>
      </c>
      <c r="X40" s="186">
        <f>ROUND(W40/12,0)</f>
        <v>25870</v>
      </c>
      <c r="Y40" s="175">
        <f>H40+X20</f>
        <v>620884.4</v>
      </c>
      <c r="Z40" s="176"/>
      <c r="AA40" s="183"/>
    </row>
    <row r="41" spans="1:27" ht="12.75">
      <c r="A41" s="177" t="s">
        <v>224</v>
      </c>
      <c r="B41" s="177"/>
      <c r="C41" s="177">
        <f aca="true" t="shared" si="5" ref="C41:Y41">SUM(C36:C40)</f>
        <v>3526048</v>
      </c>
      <c r="D41" s="177">
        <f t="shared" si="5"/>
        <v>193932</v>
      </c>
      <c r="E41" s="177">
        <f t="shared" si="5"/>
        <v>133500</v>
      </c>
      <c r="F41" s="177">
        <f t="shared" si="5"/>
        <v>0</v>
      </c>
      <c r="G41" s="177">
        <f t="shared" si="5"/>
        <v>3719980</v>
      </c>
      <c r="H41" s="177">
        <f t="shared" si="5"/>
        <v>3943178.8</v>
      </c>
      <c r="I41" s="177">
        <f t="shared" si="5"/>
        <v>47318146</v>
      </c>
      <c r="J41" s="177">
        <f t="shared" si="5"/>
        <v>1892726</v>
      </c>
      <c r="K41" s="177">
        <f t="shared" si="5"/>
        <v>4022042</v>
      </c>
      <c r="L41" s="177">
        <f t="shared" si="5"/>
        <v>1833578</v>
      </c>
      <c r="M41" s="177">
        <f>SUM(M36:M40)</f>
        <v>1892726</v>
      </c>
      <c r="N41" s="177">
        <f t="shared" si="5"/>
        <v>5678178</v>
      </c>
      <c r="O41" s="177">
        <f>SUM(O36:O40)</f>
        <v>1892726</v>
      </c>
      <c r="P41" s="177">
        <f t="shared" si="5"/>
        <v>247000</v>
      </c>
      <c r="Q41" s="177">
        <f t="shared" si="5"/>
        <v>236591</v>
      </c>
      <c r="R41" s="177">
        <f t="shared" si="5"/>
        <v>1419543</v>
      </c>
      <c r="S41" s="177">
        <f t="shared" si="5"/>
        <v>236591</v>
      </c>
      <c r="T41" s="177">
        <f t="shared" si="5"/>
        <v>473182</v>
      </c>
      <c r="U41" s="177">
        <f t="shared" si="5"/>
        <v>1892726</v>
      </c>
      <c r="V41" s="177">
        <f t="shared" si="5"/>
        <v>4131656.7716666665</v>
      </c>
      <c r="W41" s="177">
        <f t="shared" si="5"/>
        <v>1971590</v>
      </c>
      <c r="X41" s="177">
        <f t="shared" si="5"/>
        <v>164300</v>
      </c>
      <c r="Y41" s="177">
        <f t="shared" si="5"/>
        <v>4081608.8</v>
      </c>
      <c r="Z41" s="176"/>
      <c r="AA41" s="183"/>
    </row>
    <row r="42" spans="1:27" ht="12.75">
      <c r="A42" s="175"/>
      <c r="B42" s="175"/>
      <c r="C42" s="196" t="s">
        <v>404</v>
      </c>
      <c r="D42" s="189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86"/>
      <c r="Z42" s="176"/>
      <c r="AA42" s="183"/>
    </row>
    <row r="43" spans="1:27" ht="12.75">
      <c r="A43" s="190" t="s">
        <v>404</v>
      </c>
      <c r="B43" s="189"/>
      <c r="C43" s="19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8"/>
      <c r="Z43" s="176"/>
      <c r="AA43" s="183"/>
    </row>
    <row r="44" spans="1:27" ht="12.75">
      <c r="A44" s="175" t="s">
        <v>405</v>
      </c>
      <c r="B44" s="175" t="s">
        <v>406</v>
      </c>
      <c r="C44" s="175">
        <v>740269</v>
      </c>
      <c r="D44" s="175">
        <f>ROUND(C44*5.5/100,0)</f>
        <v>40715</v>
      </c>
      <c r="E44" s="175"/>
      <c r="F44" s="175"/>
      <c r="G44" s="175">
        <f>SUM(C44:E44)</f>
        <v>780984</v>
      </c>
      <c r="H44" s="175">
        <f>+G44*106%</f>
        <v>827843.04</v>
      </c>
      <c r="I44" s="175">
        <f>ROUND(H44*12,0)</f>
        <v>9934116</v>
      </c>
      <c r="J44" s="175">
        <f>ROUND(I44*4%,0)</f>
        <v>397365</v>
      </c>
      <c r="K44" s="175">
        <f>ROUND($I44*8.5%,0)</f>
        <v>844400</v>
      </c>
      <c r="L44" s="175">
        <f>ROUND($I44*3.875%,0)</f>
        <v>384947</v>
      </c>
      <c r="M44" s="175">
        <f>ROUND($I44*4%,0)</f>
        <v>397365</v>
      </c>
      <c r="N44" s="175">
        <f>ROUND($I44*12%,0)</f>
        <v>1192094</v>
      </c>
      <c r="O44" s="175">
        <f>ROUND($I44*4%,0)</f>
        <v>397365</v>
      </c>
      <c r="P44" s="175">
        <f>ROUND($I44*0.522%,0)</f>
        <v>51856</v>
      </c>
      <c r="Q44" s="175">
        <f>ROUND($I44*0.5%,0)</f>
        <v>49671</v>
      </c>
      <c r="R44" s="175">
        <f>ROUND($I44*3%,0)</f>
        <v>298023</v>
      </c>
      <c r="S44" s="175">
        <f>ROUND($I44*0.5%,0)</f>
        <v>49671</v>
      </c>
      <c r="T44" s="175">
        <f>ROUND($I44*1%,0)</f>
        <v>99341</v>
      </c>
      <c r="U44" s="175">
        <f>ROUND(I44*4%,0)</f>
        <v>397365</v>
      </c>
      <c r="V44" s="175">
        <f>G44+Z44+X44</f>
        <v>887339.42</v>
      </c>
      <c r="W44" s="175">
        <f>ROUND(H44/2,0)</f>
        <v>413922</v>
      </c>
      <c r="X44" s="175">
        <f>ROUND(W44/12,0)</f>
        <v>34494</v>
      </c>
      <c r="Y44" s="175">
        <f>H44+X44</f>
        <v>862337.04</v>
      </c>
      <c r="Z44" s="176">
        <f>Y44/12</f>
        <v>71861.42</v>
      </c>
      <c r="AA44" s="183"/>
    </row>
    <row r="45" spans="1:27" ht="12.75">
      <c r="A45" s="177" t="s">
        <v>224</v>
      </c>
      <c r="B45" s="177"/>
      <c r="C45" s="177"/>
      <c r="D45" s="177"/>
      <c r="E45" s="177"/>
      <c r="F45" s="177"/>
      <c r="G45" s="177">
        <f>SUM(G44)</f>
        <v>780984</v>
      </c>
      <c r="H45" s="177">
        <f aca="true" t="shared" si="6" ref="H45:Y45">SUM(H44)</f>
        <v>827843.04</v>
      </c>
      <c r="I45" s="177">
        <f t="shared" si="6"/>
        <v>9934116</v>
      </c>
      <c r="J45" s="177">
        <f t="shared" si="6"/>
        <v>397365</v>
      </c>
      <c r="K45" s="177">
        <f t="shared" si="6"/>
        <v>844400</v>
      </c>
      <c r="L45" s="177">
        <f t="shared" si="6"/>
        <v>384947</v>
      </c>
      <c r="M45" s="177">
        <f>SUM(M44)</f>
        <v>397365</v>
      </c>
      <c r="N45" s="177">
        <f t="shared" si="6"/>
        <v>1192094</v>
      </c>
      <c r="O45" s="177">
        <f>SUM(O44)</f>
        <v>397365</v>
      </c>
      <c r="P45" s="177">
        <f t="shared" si="6"/>
        <v>51856</v>
      </c>
      <c r="Q45" s="177">
        <f t="shared" si="6"/>
        <v>49671</v>
      </c>
      <c r="R45" s="177">
        <f t="shared" si="6"/>
        <v>298023</v>
      </c>
      <c r="S45" s="177">
        <f t="shared" si="6"/>
        <v>49671</v>
      </c>
      <c r="T45" s="177">
        <f t="shared" si="6"/>
        <v>99341</v>
      </c>
      <c r="U45" s="177">
        <f t="shared" si="6"/>
        <v>397365</v>
      </c>
      <c r="V45" s="177">
        <f t="shared" si="6"/>
        <v>887339.42</v>
      </c>
      <c r="W45" s="177">
        <f t="shared" si="6"/>
        <v>413922</v>
      </c>
      <c r="X45" s="177">
        <f t="shared" si="6"/>
        <v>34494</v>
      </c>
      <c r="Y45" s="177">
        <f t="shared" si="6"/>
        <v>862337.04</v>
      </c>
      <c r="Z45" s="176"/>
      <c r="AA45" s="183"/>
    </row>
    <row r="46" spans="1:27" ht="12.75">
      <c r="A46" s="200"/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6"/>
      <c r="AA46" s="183"/>
    </row>
    <row r="47" spans="1:27" ht="12.75">
      <c r="A47" s="201" t="s">
        <v>407</v>
      </c>
      <c r="B47" s="189"/>
      <c r="C47" s="201" t="s">
        <v>408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76"/>
      <c r="AA47" s="183"/>
    </row>
    <row r="48" spans="1:27" ht="12.75">
      <c r="A48" s="186" t="s">
        <v>409</v>
      </c>
      <c r="B48" s="186" t="s">
        <v>410</v>
      </c>
      <c r="C48" s="175">
        <v>2191320</v>
      </c>
      <c r="D48" s="175"/>
      <c r="E48" s="186"/>
      <c r="F48" s="186"/>
      <c r="G48" s="186">
        <f>SUM(C48:E48)</f>
        <v>2191320</v>
      </c>
      <c r="H48" s="175">
        <f>+G48*106%</f>
        <v>2322799.2</v>
      </c>
      <c r="I48" s="175">
        <f>ROUND(H48*12,0)</f>
        <v>27873590</v>
      </c>
      <c r="J48" s="175">
        <f>ROUND(I48*4%,0)</f>
        <v>1114944</v>
      </c>
      <c r="K48" s="175">
        <f>ROUND($I48*8.5%,0)</f>
        <v>2369255</v>
      </c>
      <c r="L48" s="175">
        <f>ROUND($I48*3.875%,0)</f>
        <v>1080102</v>
      </c>
      <c r="M48" s="175">
        <f>ROUND($I48*4%,0)</f>
        <v>1114944</v>
      </c>
      <c r="N48" s="175">
        <f>ROUND($I48*12%,0)</f>
        <v>3344831</v>
      </c>
      <c r="O48" s="175">
        <f>ROUND($I48*4%,0)</f>
        <v>1114944</v>
      </c>
      <c r="P48" s="175">
        <f>ROUND($I48*0.522%,0)</f>
        <v>145500</v>
      </c>
      <c r="Q48" s="175">
        <f>ROUND($I48*0.5%,0)</f>
        <v>139368</v>
      </c>
      <c r="R48" s="175">
        <f>ROUND($I48*3%,0)</f>
        <v>836208</v>
      </c>
      <c r="S48" s="175">
        <f>ROUND($I48*0.5%,0)</f>
        <v>139368</v>
      </c>
      <c r="T48" s="175">
        <f>ROUND($I48*1%,0)</f>
        <v>278736</v>
      </c>
      <c r="U48" s="175">
        <f>ROUND(I48*4%,0)</f>
        <v>1114944</v>
      </c>
      <c r="V48" s="175">
        <f>G48+Z48+X48</f>
        <v>2489734.85</v>
      </c>
      <c r="W48" s="175">
        <f>ROUND(H48/2,0)</f>
        <v>1161400</v>
      </c>
      <c r="X48" s="175">
        <f>ROUND(W48/12,0)</f>
        <v>96783</v>
      </c>
      <c r="Y48" s="175">
        <f>H48+X48</f>
        <v>2419582.2</v>
      </c>
      <c r="Z48" s="176">
        <f>Y48/12</f>
        <v>201631.85</v>
      </c>
      <c r="AA48" s="183"/>
    </row>
    <row r="49" spans="1:27" ht="12.75">
      <c r="A49" s="186" t="s">
        <v>411</v>
      </c>
      <c r="B49" s="186" t="s">
        <v>379</v>
      </c>
      <c r="C49" s="175">
        <v>733285</v>
      </c>
      <c r="D49" s="175">
        <f>ROUND(C49*5.5/100,0)</f>
        <v>40331</v>
      </c>
      <c r="E49" s="186"/>
      <c r="F49" s="186"/>
      <c r="G49" s="186">
        <v>780984</v>
      </c>
      <c r="H49" s="175">
        <f>+G49*106%</f>
        <v>827843.04</v>
      </c>
      <c r="I49" s="175">
        <f>ROUND(H49*12,0)</f>
        <v>9934116</v>
      </c>
      <c r="J49" s="175">
        <f>ROUND(I49*4%,0)</f>
        <v>397365</v>
      </c>
      <c r="K49" s="175">
        <f>ROUND($I49*8.5%,0)</f>
        <v>844400</v>
      </c>
      <c r="L49" s="175">
        <f>ROUND($I49*3.875%,0)</f>
        <v>384947</v>
      </c>
      <c r="M49" s="175">
        <f>ROUND($I49*4%,0)</f>
        <v>397365</v>
      </c>
      <c r="N49" s="175">
        <f>ROUND($I49*12%,0)</f>
        <v>1192094</v>
      </c>
      <c r="O49" s="175">
        <f>ROUND($I49*4%,0)</f>
        <v>397365</v>
      </c>
      <c r="P49" s="175">
        <f>ROUND($I49*0.522%,0)</f>
        <v>51856</v>
      </c>
      <c r="Q49" s="175">
        <f>ROUND($I49*0.5%,0)</f>
        <v>49671</v>
      </c>
      <c r="R49" s="175">
        <f>ROUND($I49*3%,0)</f>
        <v>298023</v>
      </c>
      <c r="S49" s="175">
        <f>ROUND($I49*0.5%,0)</f>
        <v>49671</v>
      </c>
      <c r="T49" s="175">
        <f>ROUND($I49*1%,0)</f>
        <v>99341</v>
      </c>
      <c r="U49" s="175">
        <f>ROUND(I49*4%,0)</f>
        <v>397365</v>
      </c>
      <c r="V49" s="175">
        <f>G49+Z49+X49</f>
        <v>887339.42</v>
      </c>
      <c r="W49" s="175">
        <f>ROUND(H49/2,0)</f>
        <v>413922</v>
      </c>
      <c r="X49" s="186">
        <f>ROUND(W49/12,0)</f>
        <v>34494</v>
      </c>
      <c r="Y49" s="175">
        <f>H49+X49</f>
        <v>862337.04</v>
      </c>
      <c r="Z49" s="176">
        <f>Y49/12</f>
        <v>71861.42</v>
      </c>
      <c r="AA49" s="183"/>
    </row>
    <row r="50" spans="1:27" ht="12.75">
      <c r="A50" s="186" t="s">
        <v>412</v>
      </c>
      <c r="B50" s="186" t="s">
        <v>379</v>
      </c>
      <c r="C50" s="175">
        <v>740269</v>
      </c>
      <c r="D50" s="175">
        <f>ROUND(C50*5.5/100,0)</f>
        <v>40715</v>
      </c>
      <c r="E50" s="186"/>
      <c r="F50" s="186"/>
      <c r="G50" s="186">
        <f>SUM(C50:E50)</f>
        <v>780984</v>
      </c>
      <c r="H50" s="175">
        <f>+G50*106%</f>
        <v>827843.04</v>
      </c>
      <c r="I50" s="175">
        <f>ROUND(H50*12,0)</f>
        <v>9934116</v>
      </c>
      <c r="J50" s="175">
        <f>ROUND(I50*4%,0)</f>
        <v>397365</v>
      </c>
      <c r="K50" s="175">
        <f>ROUND($I50*8.5%,0)</f>
        <v>844400</v>
      </c>
      <c r="L50" s="175">
        <f>ROUND($I50*3.875%,0)</f>
        <v>384947</v>
      </c>
      <c r="M50" s="175">
        <f>ROUND($I50*4%,0)</f>
        <v>397365</v>
      </c>
      <c r="N50" s="175">
        <f>ROUND($I50*12%,0)</f>
        <v>1192094</v>
      </c>
      <c r="O50" s="175">
        <f>ROUND($I50*4%,0)</f>
        <v>397365</v>
      </c>
      <c r="P50" s="175">
        <f>ROUND($I50*0.522%,0)</f>
        <v>51856</v>
      </c>
      <c r="Q50" s="175">
        <f>ROUND($I50*0.5%,0)</f>
        <v>49671</v>
      </c>
      <c r="R50" s="175">
        <f>ROUND($I50*3%,0)</f>
        <v>298023</v>
      </c>
      <c r="S50" s="175">
        <f>ROUND($I50*0.5%,0)</f>
        <v>49671</v>
      </c>
      <c r="T50" s="175">
        <f>ROUND($I50*1%,0)</f>
        <v>99341</v>
      </c>
      <c r="U50" s="175">
        <f>ROUND(I50*4%,0)</f>
        <v>397365</v>
      </c>
      <c r="V50" s="175">
        <f>G50+Z50+X50</f>
        <v>887339.42</v>
      </c>
      <c r="W50" s="175">
        <f>ROUND(H50/2,0)</f>
        <v>413922</v>
      </c>
      <c r="X50" s="186">
        <f>ROUND(W50/12,0)</f>
        <v>34494</v>
      </c>
      <c r="Y50" s="175">
        <f>H50+X50</f>
        <v>862337.04</v>
      </c>
      <c r="Z50" s="176">
        <f>Y50/12</f>
        <v>71861.42</v>
      </c>
      <c r="AA50" s="183"/>
    </row>
    <row r="51" spans="1:27" ht="12.75">
      <c r="A51" s="177" t="s">
        <v>224</v>
      </c>
      <c r="B51" s="177"/>
      <c r="C51" s="177">
        <f aca="true" t="shared" si="7" ref="C51:Y51">SUM(C48:C50)</f>
        <v>3664874</v>
      </c>
      <c r="D51" s="177">
        <f t="shared" si="7"/>
        <v>81046</v>
      </c>
      <c r="E51" s="177">
        <f t="shared" si="7"/>
        <v>0</v>
      </c>
      <c r="F51" s="177">
        <f t="shared" si="7"/>
        <v>0</v>
      </c>
      <c r="G51" s="177">
        <f t="shared" si="7"/>
        <v>3753288</v>
      </c>
      <c r="H51" s="177">
        <f t="shared" si="7"/>
        <v>3978485.2800000003</v>
      </c>
      <c r="I51" s="177">
        <f t="shared" si="7"/>
        <v>47741822</v>
      </c>
      <c r="J51" s="177">
        <f t="shared" si="7"/>
        <v>1909674</v>
      </c>
      <c r="K51" s="177">
        <f t="shared" si="7"/>
        <v>4058055</v>
      </c>
      <c r="L51" s="177">
        <f t="shared" si="7"/>
        <v>1849996</v>
      </c>
      <c r="M51" s="177">
        <f>SUM(M48:M50)</f>
        <v>1909674</v>
      </c>
      <c r="N51" s="177">
        <f t="shared" si="7"/>
        <v>5729019</v>
      </c>
      <c r="O51" s="177">
        <f>SUM(O48:O50)</f>
        <v>1909674</v>
      </c>
      <c r="P51" s="177">
        <f t="shared" si="7"/>
        <v>249212</v>
      </c>
      <c r="Q51" s="177">
        <f t="shared" si="7"/>
        <v>238710</v>
      </c>
      <c r="R51" s="177">
        <f t="shared" si="7"/>
        <v>1432254</v>
      </c>
      <c r="S51" s="177">
        <f t="shared" si="7"/>
        <v>238710</v>
      </c>
      <c r="T51" s="177">
        <f t="shared" si="7"/>
        <v>477418</v>
      </c>
      <c r="U51" s="177">
        <f t="shared" si="7"/>
        <v>1909674</v>
      </c>
      <c r="V51" s="177">
        <f t="shared" si="7"/>
        <v>4264413.69</v>
      </c>
      <c r="W51" s="177">
        <f t="shared" si="7"/>
        <v>1989244</v>
      </c>
      <c r="X51" s="177">
        <f t="shared" si="7"/>
        <v>165771</v>
      </c>
      <c r="Y51" s="177">
        <f t="shared" si="7"/>
        <v>4144256.2800000003</v>
      </c>
      <c r="Z51" s="192">
        <f>SUM(Z28:Z50)</f>
        <v>1016296.3950000001</v>
      </c>
      <c r="AA51" s="183"/>
    </row>
    <row r="52" spans="1:27" ht="12.75">
      <c r="A52" s="202"/>
      <c r="B52" s="203"/>
      <c r="C52" s="202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2"/>
      <c r="T52" s="203"/>
      <c r="U52" s="203"/>
      <c r="V52" s="203"/>
      <c r="W52" s="203"/>
      <c r="X52" s="203"/>
      <c r="Y52" s="204"/>
      <c r="Z52" s="205"/>
      <c r="AA52" s="183"/>
    </row>
    <row r="53" spans="1:27" ht="12.75">
      <c r="A53" s="202"/>
      <c r="B53" s="203"/>
      <c r="C53" s="206" t="s">
        <v>413</v>
      </c>
      <c r="D53" s="199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2"/>
      <c r="T53" s="203"/>
      <c r="U53" s="203"/>
      <c r="V53" s="203"/>
      <c r="W53" s="203"/>
      <c r="X53" s="203"/>
      <c r="Y53" s="204"/>
      <c r="Z53" s="205"/>
      <c r="AA53" s="183"/>
    </row>
    <row r="54" spans="1:26" s="155" customFormat="1" ht="13.5" customHeight="1">
      <c r="A54" s="207" t="s">
        <v>170</v>
      </c>
      <c r="B54" s="208"/>
      <c r="C54" s="207"/>
      <c r="D54" s="209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7"/>
      <c r="T54" s="208"/>
      <c r="U54" s="208"/>
      <c r="V54" s="208"/>
      <c r="W54" s="208"/>
      <c r="X54" s="208"/>
      <c r="Y54" s="210"/>
      <c r="Z54" s="211"/>
    </row>
    <row r="55" spans="1:27" ht="12.75">
      <c r="A55" s="186" t="s">
        <v>414</v>
      </c>
      <c r="B55" s="186" t="s">
        <v>395</v>
      </c>
      <c r="C55" s="175">
        <v>1198000</v>
      </c>
      <c r="D55" s="175">
        <f aca="true" t="shared" si="8" ref="D55:D61">ROUND(C55*5.5/100,0)</f>
        <v>65890</v>
      </c>
      <c r="E55" s="186"/>
      <c r="F55" s="186"/>
      <c r="G55" s="186">
        <f aca="true" t="shared" si="9" ref="G55:G61">SUM(C55:E55)</f>
        <v>1263890</v>
      </c>
      <c r="H55" s="175">
        <f aca="true" t="shared" si="10" ref="H55:H61">+G55*106%</f>
        <v>1339723.4000000001</v>
      </c>
      <c r="I55" s="175">
        <f aca="true" t="shared" si="11" ref="I55:I61">ROUND(H55*12,0)</f>
        <v>16076681</v>
      </c>
      <c r="J55" s="175">
        <f aca="true" t="shared" si="12" ref="J55:J61">ROUND(I55*4%,0)</f>
        <v>643067</v>
      </c>
      <c r="K55" s="175">
        <f aca="true" t="shared" si="13" ref="K55:K61">ROUND($I55*8.5%,0)</f>
        <v>1366518</v>
      </c>
      <c r="L55" s="175">
        <f aca="true" t="shared" si="14" ref="L55:L61">ROUND($I55*3.875%,0)</f>
        <v>622971</v>
      </c>
      <c r="M55" s="175">
        <f aca="true" t="shared" si="15" ref="M55:M61">ROUND($I55*4%,0)</f>
        <v>643067</v>
      </c>
      <c r="N55" s="175">
        <f aca="true" t="shared" si="16" ref="N55:N61">ROUND($I55*12%,0)</f>
        <v>1929202</v>
      </c>
      <c r="O55" s="175">
        <f aca="true" t="shared" si="17" ref="O55:O61">ROUND($I55*4%,0)</f>
        <v>643067</v>
      </c>
      <c r="P55" s="175">
        <f aca="true" t="shared" si="18" ref="P55:P61">ROUND($I55*0.522%,0)</f>
        <v>83920</v>
      </c>
      <c r="Q55" s="175">
        <f aca="true" t="shared" si="19" ref="Q55:Q61">ROUND($I55*0.5%,0)</f>
        <v>80383</v>
      </c>
      <c r="R55" s="175">
        <f aca="true" t="shared" si="20" ref="R55:R61">ROUND($I55*3%,0)</f>
        <v>482300</v>
      </c>
      <c r="S55" s="175">
        <f aca="true" t="shared" si="21" ref="S55:S61">ROUND($I55*0.5%,0)</f>
        <v>80383</v>
      </c>
      <c r="T55" s="175">
        <f aca="true" t="shared" si="22" ref="T55:T61">ROUND($I55*1%,0)</f>
        <v>160767</v>
      </c>
      <c r="U55" s="175">
        <f aca="true" t="shared" si="23" ref="U55:U61">ROUND(I55*4%,0)</f>
        <v>643067</v>
      </c>
      <c r="V55" s="175">
        <f aca="true" t="shared" si="24" ref="V55:V61">G55+Z55+X55</f>
        <v>1436007.45</v>
      </c>
      <c r="W55" s="175">
        <f aca="true" t="shared" si="25" ref="W55:W61">ROUND(H55/2,0)</f>
        <v>669862</v>
      </c>
      <c r="X55" s="186">
        <f aca="true" t="shared" si="26" ref="X55:X61">ROUND(W55/12,0)</f>
        <v>55822</v>
      </c>
      <c r="Y55" s="175">
        <f aca="true" t="shared" si="27" ref="Y55:Y61">H55+X55</f>
        <v>1395545.4000000001</v>
      </c>
      <c r="Z55" s="176">
        <f aca="true" t="shared" si="28" ref="Z55:Z61">Y55/12</f>
        <v>116295.45000000001</v>
      </c>
      <c r="AA55" s="183"/>
    </row>
    <row r="56" spans="1:27" ht="12.75">
      <c r="A56" s="186" t="s">
        <v>415</v>
      </c>
      <c r="B56" s="186" t="s">
        <v>379</v>
      </c>
      <c r="C56" s="175">
        <v>598586</v>
      </c>
      <c r="D56" s="175">
        <f t="shared" si="8"/>
        <v>32922</v>
      </c>
      <c r="E56" s="186"/>
      <c r="F56" s="186"/>
      <c r="G56" s="186">
        <f t="shared" si="9"/>
        <v>631508</v>
      </c>
      <c r="H56" s="175">
        <f t="shared" si="10"/>
        <v>669398.48</v>
      </c>
      <c r="I56" s="175">
        <f t="shared" si="11"/>
        <v>8032782</v>
      </c>
      <c r="J56" s="175">
        <f t="shared" si="12"/>
        <v>321311</v>
      </c>
      <c r="K56" s="175">
        <f t="shared" si="13"/>
        <v>682786</v>
      </c>
      <c r="L56" s="175">
        <f t="shared" si="14"/>
        <v>311270</v>
      </c>
      <c r="M56" s="175">
        <f t="shared" si="15"/>
        <v>321311</v>
      </c>
      <c r="N56" s="175">
        <f t="shared" si="16"/>
        <v>963934</v>
      </c>
      <c r="O56" s="175">
        <f t="shared" si="17"/>
        <v>321311</v>
      </c>
      <c r="P56" s="175">
        <f t="shared" si="18"/>
        <v>41931</v>
      </c>
      <c r="Q56" s="175">
        <f t="shared" si="19"/>
        <v>40164</v>
      </c>
      <c r="R56" s="175">
        <f t="shared" si="20"/>
        <v>240983</v>
      </c>
      <c r="S56" s="175">
        <f t="shared" si="21"/>
        <v>40164</v>
      </c>
      <c r="T56" s="175">
        <f t="shared" si="22"/>
        <v>80328</v>
      </c>
      <c r="U56" s="175">
        <f t="shared" si="23"/>
        <v>321311</v>
      </c>
      <c r="V56" s="175">
        <f t="shared" si="24"/>
        <v>717507.54</v>
      </c>
      <c r="W56" s="175">
        <f t="shared" si="25"/>
        <v>334699</v>
      </c>
      <c r="X56" s="186">
        <f t="shared" si="26"/>
        <v>27892</v>
      </c>
      <c r="Y56" s="175">
        <f t="shared" si="27"/>
        <v>697290.48</v>
      </c>
      <c r="Z56" s="176">
        <f t="shared" si="28"/>
        <v>58107.54</v>
      </c>
      <c r="AA56" s="183"/>
    </row>
    <row r="57" spans="1:27" ht="12.75">
      <c r="A57" s="186" t="s">
        <v>416</v>
      </c>
      <c r="B57" s="186" t="s">
        <v>379</v>
      </c>
      <c r="C57" s="175">
        <v>598586</v>
      </c>
      <c r="D57" s="175">
        <f t="shared" si="8"/>
        <v>32922</v>
      </c>
      <c r="E57" s="186"/>
      <c r="F57" s="186"/>
      <c r="G57" s="186">
        <f t="shared" si="9"/>
        <v>631508</v>
      </c>
      <c r="H57" s="175">
        <f t="shared" si="10"/>
        <v>669398.48</v>
      </c>
      <c r="I57" s="175">
        <f t="shared" si="11"/>
        <v>8032782</v>
      </c>
      <c r="J57" s="175">
        <f t="shared" si="12"/>
        <v>321311</v>
      </c>
      <c r="K57" s="175">
        <f t="shared" si="13"/>
        <v>682786</v>
      </c>
      <c r="L57" s="175">
        <f t="shared" si="14"/>
        <v>311270</v>
      </c>
      <c r="M57" s="175">
        <f t="shared" si="15"/>
        <v>321311</v>
      </c>
      <c r="N57" s="175">
        <f t="shared" si="16"/>
        <v>963934</v>
      </c>
      <c r="O57" s="175">
        <f t="shared" si="17"/>
        <v>321311</v>
      </c>
      <c r="P57" s="175">
        <f t="shared" si="18"/>
        <v>41931</v>
      </c>
      <c r="Q57" s="175">
        <f t="shared" si="19"/>
        <v>40164</v>
      </c>
      <c r="R57" s="175">
        <f t="shared" si="20"/>
        <v>240983</v>
      </c>
      <c r="S57" s="175">
        <f t="shared" si="21"/>
        <v>40164</v>
      </c>
      <c r="T57" s="175">
        <f t="shared" si="22"/>
        <v>80328</v>
      </c>
      <c r="U57" s="175">
        <f t="shared" si="23"/>
        <v>321311</v>
      </c>
      <c r="V57" s="175">
        <f t="shared" si="24"/>
        <v>717507.54</v>
      </c>
      <c r="W57" s="175">
        <f t="shared" si="25"/>
        <v>334699</v>
      </c>
      <c r="X57" s="186">
        <f t="shared" si="26"/>
        <v>27892</v>
      </c>
      <c r="Y57" s="175">
        <f t="shared" si="27"/>
        <v>697290.48</v>
      </c>
      <c r="Z57" s="176">
        <f t="shared" si="28"/>
        <v>58107.54</v>
      </c>
      <c r="AA57" s="183"/>
    </row>
    <row r="58" spans="1:27" ht="12.75">
      <c r="A58" s="186" t="s">
        <v>417</v>
      </c>
      <c r="B58" s="186" t="s">
        <v>379</v>
      </c>
      <c r="C58" s="186">
        <v>555204</v>
      </c>
      <c r="D58" s="175">
        <f t="shared" si="8"/>
        <v>30536</v>
      </c>
      <c r="E58" s="186"/>
      <c r="F58" s="186"/>
      <c r="G58" s="186">
        <f t="shared" si="9"/>
        <v>585740</v>
      </c>
      <c r="H58" s="175">
        <f t="shared" si="10"/>
        <v>620884.4</v>
      </c>
      <c r="I58" s="175">
        <f t="shared" si="11"/>
        <v>7450613</v>
      </c>
      <c r="J58" s="175">
        <f t="shared" si="12"/>
        <v>298025</v>
      </c>
      <c r="K58" s="175">
        <f t="shared" si="13"/>
        <v>633302</v>
      </c>
      <c r="L58" s="175">
        <f t="shared" si="14"/>
        <v>288711</v>
      </c>
      <c r="M58" s="175">
        <f t="shared" si="15"/>
        <v>298025</v>
      </c>
      <c r="N58" s="175">
        <f t="shared" si="16"/>
        <v>894074</v>
      </c>
      <c r="O58" s="175">
        <f t="shared" si="17"/>
        <v>298025</v>
      </c>
      <c r="P58" s="175">
        <f t="shared" si="18"/>
        <v>38892</v>
      </c>
      <c r="Q58" s="175">
        <f t="shared" si="19"/>
        <v>37253</v>
      </c>
      <c r="R58" s="175">
        <f t="shared" si="20"/>
        <v>223518</v>
      </c>
      <c r="S58" s="175">
        <f t="shared" si="21"/>
        <v>37253</v>
      </c>
      <c r="T58" s="175">
        <f t="shared" si="22"/>
        <v>74506</v>
      </c>
      <c r="U58" s="175">
        <f t="shared" si="23"/>
        <v>298025</v>
      </c>
      <c r="V58" s="175">
        <f t="shared" si="24"/>
        <v>665506.2</v>
      </c>
      <c r="W58" s="175">
        <f t="shared" si="25"/>
        <v>310442</v>
      </c>
      <c r="X58" s="186">
        <f t="shared" si="26"/>
        <v>25870</v>
      </c>
      <c r="Y58" s="175">
        <f t="shared" si="27"/>
        <v>646754.4</v>
      </c>
      <c r="Z58" s="176">
        <f t="shared" si="28"/>
        <v>53896.200000000004</v>
      </c>
      <c r="AA58" s="183"/>
    </row>
    <row r="59" spans="1:27" ht="12.75">
      <c r="A59" s="186" t="s">
        <v>418</v>
      </c>
      <c r="B59" s="186" t="s">
        <v>379</v>
      </c>
      <c r="C59" s="186">
        <v>555204</v>
      </c>
      <c r="D59" s="175">
        <f t="shared" si="8"/>
        <v>30536</v>
      </c>
      <c r="E59" s="186"/>
      <c r="F59" s="186"/>
      <c r="G59" s="186">
        <f t="shared" si="9"/>
        <v>585740</v>
      </c>
      <c r="H59" s="175">
        <f t="shared" si="10"/>
        <v>620884.4</v>
      </c>
      <c r="I59" s="175">
        <f t="shared" si="11"/>
        <v>7450613</v>
      </c>
      <c r="J59" s="175">
        <f t="shared" si="12"/>
        <v>298025</v>
      </c>
      <c r="K59" s="175">
        <f t="shared" si="13"/>
        <v>633302</v>
      </c>
      <c r="L59" s="175">
        <f t="shared" si="14"/>
        <v>288711</v>
      </c>
      <c r="M59" s="175">
        <f t="shared" si="15"/>
        <v>298025</v>
      </c>
      <c r="N59" s="175">
        <f t="shared" si="16"/>
        <v>894074</v>
      </c>
      <c r="O59" s="175">
        <f t="shared" si="17"/>
        <v>298025</v>
      </c>
      <c r="P59" s="175">
        <f t="shared" si="18"/>
        <v>38892</v>
      </c>
      <c r="Q59" s="175">
        <f t="shared" si="19"/>
        <v>37253</v>
      </c>
      <c r="R59" s="175">
        <f t="shared" si="20"/>
        <v>223518</v>
      </c>
      <c r="S59" s="175">
        <f t="shared" si="21"/>
        <v>37253</v>
      </c>
      <c r="T59" s="175">
        <f t="shared" si="22"/>
        <v>74506</v>
      </c>
      <c r="U59" s="175">
        <f t="shared" si="23"/>
        <v>298025</v>
      </c>
      <c r="V59" s="175">
        <f t="shared" si="24"/>
        <v>665506.2</v>
      </c>
      <c r="W59" s="175">
        <f t="shared" si="25"/>
        <v>310442</v>
      </c>
      <c r="X59" s="186">
        <f t="shared" si="26"/>
        <v>25870</v>
      </c>
      <c r="Y59" s="175">
        <f t="shared" si="27"/>
        <v>646754.4</v>
      </c>
      <c r="Z59" s="176">
        <f t="shared" si="28"/>
        <v>53896.200000000004</v>
      </c>
      <c r="AA59" s="183"/>
    </row>
    <row r="60" spans="1:27" ht="12.75">
      <c r="A60" s="186" t="s">
        <v>419</v>
      </c>
      <c r="B60" s="186" t="s">
        <v>379</v>
      </c>
      <c r="C60" s="186">
        <v>555204</v>
      </c>
      <c r="D60" s="175">
        <f t="shared" si="8"/>
        <v>30536</v>
      </c>
      <c r="E60" s="186"/>
      <c r="F60" s="186"/>
      <c r="G60" s="186">
        <f t="shared" si="9"/>
        <v>585740</v>
      </c>
      <c r="H60" s="175">
        <f t="shared" si="10"/>
        <v>620884.4</v>
      </c>
      <c r="I60" s="175">
        <f t="shared" si="11"/>
        <v>7450613</v>
      </c>
      <c r="J60" s="175">
        <f t="shared" si="12"/>
        <v>298025</v>
      </c>
      <c r="K60" s="175">
        <f t="shared" si="13"/>
        <v>633302</v>
      </c>
      <c r="L60" s="175">
        <f t="shared" si="14"/>
        <v>288711</v>
      </c>
      <c r="M60" s="175">
        <f t="shared" si="15"/>
        <v>298025</v>
      </c>
      <c r="N60" s="175">
        <f t="shared" si="16"/>
        <v>894074</v>
      </c>
      <c r="O60" s="175">
        <f t="shared" si="17"/>
        <v>298025</v>
      </c>
      <c r="P60" s="175">
        <f t="shared" si="18"/>
        <v>38892</v>
      </c>
      <c r="Q60" s="175">
        <f t="shared" si="19"/>
        <v>37253</v>
      </c>
      <c r="R60" s="175">
        <f t="shared" si="20"/>
        <v>223518</v>
      </c>
      <c r="S60" s="175">
        <f t="shared" si="21"/>
        <v>37253</v>
      </c>
      <c r="T60" s="175">
        <f t="shared" si="22"/>
        <v>74506</v>
      </c>
      <c r="U60" s="175">
        <f t="shared" si="23"/>
        <v>298025</v>
      </c>
      <c r="V60" s="175">
        <f t="shared" si="24"/>
        <v>665506.2</v>
      </c>
      <c r="W60" s="175">
        <f t="shared" si="25"/>
        <v>310442</v>
      </c>
      <c r="X60" s="186">
        <f t="shared" si="26"/>
        <v>25870</v>
      </c>
      <c r="Y60" s="175">
        <f t="shared" si="27"/>
        <v>646754.4</v>
      </c>
      <c r="Z60" s="176">
        <f t="shared" si="28"/>
        <v>53896.200000000004</v>
      </c>
      <c r="AA60" s="183"/>
    </row>
    <row r="61" spans="1:27" ht="12.75">
      <c r="A61" s="186" t="s">
        <v>420</v>
      </c>
      <c r="B61" s="186" t="s">
        <v>379</v>
      </c>
      <c r="C61" s="186">
        <v>555204</v>
      </c>
      <c r="D61" s="175">
        <f t="shared" si="8"/>
        <v>30536</v>
      </c>
      <c r="E61" s="186"/>
      <c r="F61" s="186"/>
      <c r="G61" s="186">
        <f t="shared" si="9"/>
        <v>585740</v>
      </c>
      <c r="H61" s="175">
        <f t="shared" si="10"/>
        <v>620884.4</v>
      </c>
      <c r="I61" s="175">
        <f t="shared" si="11"/>
        <v>7450613</v>
      </c>
      <c r="J61" s="175">
        <f t="shared" si="12"/>
        <v>298025</v>
      </c>
      <c r="K61" s="175">
        <f t="shared" si="13"/>
        <v>633302</v>
      </c>
      <c r="L61" s="175">
        <f t="shared" si="14"/>
        <v>288711</v>
      </c>
      <c r="M61" s="175">
        <f t="shared" si="15"/>
        <v>298025</v>
      </c>
      <c r="N61" s="175">
        <f t="shared" si="16"/>
        <v>894074</v>
      </c>
      <c r="O61" s="175">
        <f t="shared" si="17"/>
        <v>298025</v>
      </c>
      <c r="P61" s="175">
        <f t="shared" si="18"/>
        <v>38892</v>
      </c>
      <c r="Q61" s="175">
        <f t="shared" si="19"/>
        <v>37253</v>
      </c>
      <c r="R61" s="175">
        <f t="shared" si="20"/>
        <v>223518</v>
      </c>
      <c r="S61" s="175">
        <f t="shared" si="21"/>
        <v>37253</v>
      </c>
      <c r="T61" s="175">
        <f t="shared" si="22"/>
        <v>74506</v>
      </c>
      <c r="U61" s="175">
        <f t="shared" si="23"/>
        <v>298025</v>
      </c>
      <c r="V61" s="175">
        <f t="shared" si="24"/>
        <v>665506.2</v>
      </c>
      <c r="W61" s="175">
        <f t="shared" si="25"/>
        <v>310442</v>
      </c>
      <c r="X61" s="186">
        <f t="shared" si="26"/>
        <v>25870</v>
      </c>
      <c r="Y61" s="175">
        <f t="shared" si="27"/>
        <v>646754.4</v>
      </c>
      <c r="Z61" s="176">
        <f t="shared" si="28"/>
        <v>53896.200000000004</v>
      </c>
      <c r="AA61" s="183"/>
    </row>
    <row r="62" spans="1:27" ht="12.75">
      <c r="A62" s="177" t="s">
        <v>224</v>
      </c>
      <c r="B62" s="212"/>
      <c r="C62" s="177">
        <f>SUM(C55:C61)</f>
        <v>4615988</v>
      </c>
      <c r="D62" s="177"/>
      <c r="E62" s="177">
        <f>SUM(E55:E61)</f>
        <v>0</v>
      </c>
      <c r="F62" s="177"/>
      <c r="G62" s="177">
        <f>SUM(G55:G61)</f>
        <v>4869866</v>
      </c>
      <c r="H62" s="177">
        <f>SUM(H55:H61)</f>
        <v>5162057.960000001</v>
      </c>
      <c r="I62" s="177">
        <f aca="true" t="shared" si="29" ref="I62:Z62">SUM(I55:I61)</f>
        <v>61944697</v>
      </c>
      <c r="J62" s="177">
        <f t="shared" si="29"/>
        <v>2477789</v>
      </c>
      <c r="K62" s="177">
        <f t="shared" si="29"/>
        <v>5265298</v>
      </c>
      <c r="L62" s="177">
        <f t="shared" si="29"/>
        <v>2400355</v>
      </c>
      <c r="M62" s="177">
        <f>SUM(M55:M61)</f>
        <v>2477789</v>
      </c>
      <c r="N62" s="177">
        <f t="shared" si="29"/>
        <v>7433366</v>
      </c>
      <c r="O62" s="177">
        <f>SUM(O55:O61)</f>
        <v>2477789</v>
      </c>
      <c r="P62" s="177">
        <f t="shared" si="29"/>
        <v>323350</v>
      </c>
      <c r="Q62" s="177">
        <f t="shared" si="29"/>
        <v>309723</v>
      </c>
      <c r="R62" s="177">
        <f t="shared" si="29"/>
        <v>1858338</v>
      </c>
      <c r="S62" s="177">
        <f t="shared" si="29"/>
        <v>309723</v>
      </c>
      <c r="T62" s="177">
        <f t="shared" si="29"/>
        <v>619447</v>
      </c>
      <c r="U62" s="177">
        <f t="shared" si="29"/>
        <v>2477789</v>
      </c>
      <c r="V62" s="177">
        <f t="shared" si="29"/>
        <v>5533047.330000001</v>
      </c>
      <c r="W62" s="177">
        <f t="shared" si="29"/>
        <v>2581028</v>
      </c>
      <c r="X62" s="177">
        <f t="shared" si="29"/>
        <v>215086</v>
      </c>
      <c r="Y62" s="177">
        <f t="shared" si="29"/>
        <v>5377143.960000001</v>
      </c>
      <c r="Z62" s="178">
        <f t="shared" si="29"/>
        <v>448095.3300000001</v>
      </c>
      <c r="AA62" s="183"/>
    </row>
    <row r="63" spans="1:26" s="155" customFormat="1" ht="18" customHeight="1">
      <c r="A63" s="213"/>
      <c r="B63" s="214"/>
      <c r="C63" s="213"/>
      <c r="D63" s="215"/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  <c r="R63" s="214"/>
      <c r="S63" s="213"/>
      <c r="T63" s="214"/>
      <c r="U63" s="214"/>
      <c r="V63" s="214"/>
      <c r="W63" s="214"/>
      <c r="X63" s="214"/>
      <c r="Y63" s="211"/>
      <c r="Z63" s="211"/>
    </row>
    <row r="64" spans="1:26" s="155" customFormat="1" ht="18" customHeight="1">
      <c r="A64" s="216" t="s">
        <v>421</v>
      </c>
      <c r="B64" s="217"/>
      <c r="C64" s="216"/>
      <c r="D64" s="216"/>
      <c r="E64" s="217"/>
      <c r="F64" s="217"/>
      <c r="G64" s="216">
        <f aca="true" t="shared" si="30" ref="G64:L64">+G62+G51+G45+G41+G33+G25+G18</f>
        <v>23391118</v>
      </c>
      <c r="H64" s="216">
        <f t="shared" si="30"/>
        <v>24794585.080000002</v>
      </c>
      <c r="I64" s="216">
        <f>+I62+I51+I45+I41+I33+I25+I18</f>
        <v>297535021</v>
      </c>
      <c r="J64" s="216">
        <f t="shared" si="30"/>
        <v>11603379</v>
      </c>
      <c r="K64" s="216">
        <f t="shared" si="30"/>
        <v>25290475</v>
      </c>
      <c r="L64" s="216">
        <f t="shared" si="30"/>
        <v>11529479</v>
      </c>
      <c r="M64" s="216"/>
      <c r="N64" s="216">
        <f>+N62+N51+N45+N41+N33+N25+N18</f>
        <v>35704206</v>
      </c>
      <c r="O64" s="216"/>
      <c r="P64" s="216">
        <f aca="true" t="shared" si="31" ref="P64:Y64">+P62+P51+P45+P41+P33+P25+P18</f>
        <v>1553130</v>
      </c>
      <c r="Q64" s="216">
        <f t="shared" si="31"/>
        <v>1487677</v>
      </c>
      <c r="R64" s="216">
        <f t="shared" si="31"/>
        <v>8926043</v>
      </c>
      <c r="S64" s="216">
        <f t="shared" si="31"/>
        <v>1487677</v>
      </c>
      <c r="T64" s="216">
        <f t="shared" si="31"/>
        <v>2975352</v>
      </c>
      <c r="U64" s="216">
        <f t="shared" si="31"/>
        <v>11901404</v>
      </c>
      <c r="V64" s="216">
        <f t="shared" si="31"/>
        <v>26310323.116666667</v>
      </c>
      <c r="W64" s="216">
        <f t="shared" si="31"/>
        <v>12397295</v>
      </c>
      <c r="X64" s="216">
        <f t="shared" si="31"/>
        <v>1033114</v>
      </c>
      <c r="Y64" s="216">
        <f t="shared" si="31"/>
        <v>25801829.08</v>
      </c>
      <c r="Z64" s="211"/>
    </row>
    <row r="65" spans="1:26" s="155" customFormat="1" ht="18" customHeight="1">
      <c r="A65" s="213"/>
      <c r="B65" s="214"/>
      <c r="C65" s="213"/>
      <c r="D65" s="215"/>
      <c r="E65" s="214"/>
      <c r="F65" s="214"/>
      <c r="G65" s="214"/>
      <c r="H65" s="214"/>
      <c r="I65" s="214"/>
      <c r="J65" s="214"/>
      <c r="K65" s="214">
        <f>+K64+N64+P64+6230250</f>
        <v>68778061</v>
      </c>
      <c r="L65" s="214"/>
      <c r="M65" s="214"/>
      <c r="N65" s="214"/>
      <c r="O65" s="214"/>
      <c r="P65" s="214"/>
      <c r="Q65" s="214"/>
      <c r="R65" s="214"/>
      <c r="S65" s="213"/>
      <c r="T65" s="214"/>
      <c r="U65" s="214"/>
      <c r="V65" s="214"/>
      <c r="W65" s="214"/>
      <c r="X65" s="214"/>
      <c r="Y65" s="211"/>
      <c r="Z65" s="211"/>
    </row>
    <row r="66" spans="1:26" s="155" customFormat="1" ht="13.5" customHeight="1">
      <c r="A66" s="207" t="s">
        <v>422</v>
      </c>
      <c r="B66" s="208"/>
      <c r="C66" s="207" t="s">
        <v>422</v>
      </c>
      <c r="D66" s="209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8"/>
      <c r="R66" s="208"/>
      <c r="S66" s="207"/>
      <c r="T66" s="208"/>
      <c r="U66" s="208"/>
      <c r="V66" s="208"/>
      <c r="W66" s="208"/>
      <c r="X66" s="208"/>
      <c r="Y66" s="210"/>
      <c r="Z66" s="211"/>
    </row>
    <row r="67" spans="1:27" ht="12.75">
      <c r="A67" s="218" t="s">
        <v>423</v>
      </c>
      <c r="B67" s="218" t="s">
        <v>424</v>
      </c>
      <c r="C67" s="218">
        <v>408000</v>
      </c>
      <c r="D67" s="175">
        <f aca="true" t="shared" si="32" ref="D67:D72">ROUND(C67*6.299/100,0)</f>
        <v>25700</v>
      </c>
      <c r="E67" s="218"/>
      <c r="F67" s="218"/>
      <c r="G67" s="186">
        <f aca="true" t="shared" si="33" ref="G67:G72">SUM(C67:F67)</f>
        <v>433700</v>
      </c>
      <c r="H67" s="175">
        <f aca="true" t="shared" si="34" ref="H67:H72">+G67*106.41%</f>
        <v>461500.17000000004</v>
      </c>
      <c r="I67" s="175">
        <f aca="true" t="shared" si="35" ref="I67:I72">ROUND(H67*12,0)</f>
        <v>5538002</v>
      </c>
      <c r="J67" s="218"/>
      <c r="K67" s="175">
        <f>ROUND(J67*12.5%,0)</f>
        <v>0</v>
      </c>
      <c r="L67" s="218"/>
      <c r="M67" s="218"/>
      <c r="N67" s="218"/>
      <c r="O67" s="218"/>
      <c r="P67" s="218"/>
      <c r="Q67" s="218"/>
      <c r="R67" s="218"/>
      <c r="S67" s="218"/>
      <c r="T67" s="218"/>
      <c r="U67" s="218"/>
      <c r="V67" s="218"/>
      <c r="W67" s="218"/>
      <c r="X67" s="218"/>
      <c r="Y67" s="219"/>
      <c r="Z67" s="176">
        <f>Y67/12</f>
        <v>0</v>
      </c>
      <c r="AA67" s="183"/>
    </row>
    <row r="68" spans="1:27" ht="12.75">
      <c r="A68" s="219" t="s">
        <v>425</v>
      </c>
      <c r="B68" s="219" t="s">
        <v>426</v>
      </c>
      <c r="C68" s="219">
        <v>408000</v>
      </c>
      <c r="D68" s="175">
        <f t="shared" si="32"/>
        <v>25700</v>
      </c>
      <c r="E68" s="187"/>
      <c r="F68" s="187"/>
      <c r="G68" s="186">
        <f t="shared" si="33"/>
        <v>433700</v>
      </c>
      <c r="H68" s="175">
        <f t="shared" si="34"/>
        <v>461500.17000000004</v>
      </c>
      <c r="I68" s="175">
        <f t="shared" si="35"/>
        <v>5538002</v>
      </c>
      <c r="J68" s="187"/>
      <c r="K68" s="187"/>
      <c r="L68" s="187"/>
      <c r="M68" s="187"/>
      <c r="N68" s="187"/>
      <c r="O68" s="187"/>
      <c r="P68" s="187"/>
      <c r="Q68" s="187"/>
      <c r="R68" s="187"/>
      <c r="S68" s="187"/>
      <c r="T68" s="187"/>
      <c r="U68" s="187"/>
      <c r="V68" s="187"/>
      <c r="W68" s="187"/>
      <c r="X68" s="187"/>
      <c r="Y68" s="187"/>
      <c r="Z68" s="192">
        <f>SUM(Z67)</f>
        <v>0</v>
      </c>
      <c r="AA68" s="183"/>
    </row>
    <row r="69" spans="1:27" ht="12.75">
      <c r="A69" s="219" t="s">
        <v>427</v>
      </c>
      <c r="B69" s="219" t="s">
        <v>426</v>
      </c>
      <c r="C69" s="218">
        <v>589792</v>
      </c>
      <c r="D69" s="175">
        <f t="shared" si="32"/>
        <v>37151</v>
      </c>
      <c r="E69" s="219"/>
      <c r="F69" s="219"/>
      <c r="G69" s="186">
        <f t="shared" si="33"/>
        <v>626943</v>
      </c>
      <c r="H69" s="175">
        <f t="shared" si="34"/>
        <v>667130.0463</v>
      </c>
      <c r="I69" s="175">
        <f t="shared" si="35"/>
        <v>8005561</v>
      </c>
      <c r="J69" s="218"/>
      <c r="K69" s="218"/>
      <c r="L69" s="218"/>
      <c r="M69" s="218"/>
      <c r="N69" s="218"/>
      <c r="O69" s="218"/>
      <c r="P69" s="218"/>
      <c r="Q69" s="218"/>
      <c r="R69" s="218"/>
      <c r="S69" s="218"/>
      <c r="T69" s="218"/>
      <c r="U69" s="218"/>
      <c r="V69" s="218"/>
      <c r="W69" s="218"/>
      <c r="X69" s="219"/>
      <c r="Y69" s="219"/>
      <c r="Z69" s="176">
        <f>Y69/12</f>
        <v>0</v>
      </c>
      <c r="AA69" s="183"/>
    </row>
    <row r="70" spans="1:27" ht="12.75">
      <c r="A70" s="219" t="s">
        <v>428</v>
      </c>
      <c r="B70" s="219" t="s">
        <v>426</v>
      </c>
      <c r="C70" s="219">
        <v>434623</v>
      </c>
      <c r="D70" s="175">
        <f t="shared" si="32"/>
        <v>27377</v>
      </c>
      <c r="E70" s="219"/>
      <c r="F70" s="219"/>
      <c r="G70" s="186">
        <f t="shared" si="33"/>
        <v>462000</v>
      </c>
      <c r="H70" s="175">
        <f t="shared" si="34"/>
        <v>491614.2</v>
      </c>
      <c r="I70" s="175">
        <f t="shared" si="35"/>
        <v>5899370</v>
      </c>
      <c r="J70" s="218"/>
      <c r="K70" s="218"/>
      <c r="L70" s="218"/>
      <c r="M70" s="218"/>
      <c r="N70" s="218"/>
      <c r="O70" s="218"/>
      <c r="P70" s="218"/>
      <c r="Q70" s="218"/>
      <c r="R70" s="218"/>
      <c r="S70" s="218"/>
      <c r="T70" s="218"/>
      <c r="U70" s="218"/>
      <c r="V70" s="218"/>
      <c r="W70" s="218"/>
      <c r="X70" s="219"/>
      <c r="Y70" s="219"/>
      <c r="Z70" s="176">
        <f>Y70/12</f>
        <v>0</v>
      </c>
      <c r="AA70" s="183"/>
    </row>
    <row r="71" spans="1:27" ht="12.75">
      <c r="A71" s="219" t="s">
        <v>429</v>
      </c>
      <c r="B71" s="219" t="s">
        <v>426</v>
      </c>
      <c r="C71" s="219">
        <v>490233</v>
      </c>
      <c r="D71" s="175">
        <f t="shared" si="32"/>
        <v>30880</v>
      </c>
      <c r="E71" s="187"/>
      <c r="F71" s="187"/>
      <c r="G71" s="186">
        <f t="shared" si="33"/>
        <v>521113</v>
      </c>
      <c r="H71" s="175">
        <f t="shared" si="34"/>
        <v>554516.3433000001</v>
      </c>
      <c r="I71" s="175">
        <f t="shared" si="35"/>
        <v>6654196</v>
      </c>
      <c r="J71" s="187"/>
      <c r="K71" s="187"/>
      <c r="L71" s="187"/>
      <c r="M71" s="187"/>
      <c r="N71" s="187"/>
      <c r="O71" s="187"/>
      <c r="P71" s="187"/>
      <c r="Q71" s="187"/>
      <c r="R71" s="187"/>
      <c r="S71" s="187"/>
      <c r="T71" s="187"/>
      <c r="U71" s="187"/>
      <c r="V71" s="187"/>
      <c r="W71" s="187"/>
      <c r="X71" s="187"/>
      <c r="Y71" s="187"/>
      <c r="Z71" s="192">
        <f>SUM(Z69:Z70)</f>
        <v>0</v>
      </c>
      <c r="AA71" s="183"/>
    </row>
    <row r="72" spans="1:27" ht="12.75">
      <c r="A72" s="219" t="s">
        <v>430</v>
      </c>
      <c r="B72" s="219" t="s">
        <v>426</v>
      </c>
      <c r="C72" s="219">
        <v>955530</v>
      </c>
      <c r="D72" s="175">
        <f t="shared" si="32"/>
        <v>60189</v>
      </c>
      <c r="E72" s="187"/>
      <c r="F72" s="187"/>
      <c r="G72" s="186">
        <f t="shared" si="33"/>
        <v>1015719</v>
      </c>
      <c r="H72" s="175">
        <f t="shared" si="34"/>
        <v>1080826.5879000002</v>
      </c>
      <c r="I72" s="175">
        <f t="shared" si="35"/>
        <v>12969919</v>
      </c>
      <c r="J72" s="187"/>
      <c r="K72" s="187"/>
      <c r="L72" s="187"/>
      <c r="M72" s="187"/>
      <c r="N72" s="187"/>
      <c r="O72" s="187"/>
      <c r="P72" s="187"/>
      <c r="Q72" s="187"/>
      <c r="R72" s="187"/>
      <c r="S72" s="187"/>
      <c r="T72" s="187"/>
      <c r="U72" s="187"/>
      <c r="V72" s="187"/>
      <c r="W72" s="187"/>
      <c r="X72" s="187"/>
      <c r="Y72" s="187"/>
      <c r="Z72" s="178">
        <f>+Z71+Z68</f>
        <v>0</v>
      </c>
      <c r="AA72" s="183"/>
    </row>
    <row r="73" spans="1:27" ht="12.75">
      <c r="A73" s="177" t="s">
        <v>431</v>
      </c>
      <c r="B73" s="212"/>
      <c r="C73" s="177">
        <f>SUM(C66:C72)</f>
        <v>3286178</v>
      </c>
      <c r="D73" s="177"/>
      <c r="E73" s="177">
        <f>SUM(E66:E72)</f>
        <v>0</v>
      </c>
      <c r="F73" s="177"/>
      <c r="G73" s="177">
        <f aca="true" t="shared" si="36" ref="G73:Z73">SUM(G66:G72)</f>
        <v>3493175</v>
      </c>
      <c r="H73" s="177">
        <f t="shared" si="36"/>
        <v>3717087.5175000005</v>
      </c>
      <c r="I73" s="177">
        <f t="shared" si="36"/>
        <v>44605050</v>
      </c>
      <c r="J73" s="177">
        <f t="shared" si="36"/>
        <v>0</v>
      </c>
      <c r="K73" s="177">
        <f t="shared" si="36"/>
        <v>0</v>
      </c>
      <c r="L73" s="177">
        <f t="shared" si="36"/>
        <v>0</v>
      </c>
      <c r="M73" s="177"/>
      <c r="N73" s="177">
        <f t="shared" si="36"/>
        <v>0</v>
      </c>
      <c r="O73" s="177"/>
      <c r="P73" s="177">
        <f t="shared" si="36"/>
        <v>0</v>
      </c>
      <c r="Q73" s="177">
        <f t="shared" si="36"/>
        <v>0</v>
      </c>
      <c r="R73" s="177">
        <f t="shared" si="36"/>
        <v>0</v>
      </c>
      <c r="S73" s="177">
        <f t="shared" si="36"/>
        <v>0</v>
      </c>
      <c r="T73" s="177">
        <f t="shared" si="36"/>
        <v>0</v>
      </c>
      <c r="U73" s="177">
        <f t="shared" si="36"/>
        <v>0</v>
      </c>
      <c r="V73" s="177">
        <f t="shared" si="36"/>
        <v>0</v>
      </c>
      <c r="W73" s="177">
        <f t="shared" si="36"/>
        <v>0</v>
      </c>
      <c r="X73" s="177">
        <f t="shared" si="36"/>
        <v>0</v>
      </c>
      <c r="Y73" s="177">
        <f t="shared" si="36"/>
        <v>0</v>
      </c>
      <c r="Z73" s="178">
        <f t="shared" si="36"/>
        <v>0</v>
      </c>
      <c r="AA73" s="183"/>
    </row>
    <row r="74" spans="1:27" ht="12.75">
      <c r="A74" s="220"/>
      <c r="B74" s="220"/>
      <c r="C74" s="220"/>
      <c r="D74" s="220"/>
      <c r="E74" s="220"/>
      <c r="F74" s="220"/>
      <c r="G74" s="220"/>
      <c r="H74" s="220"/>
      <c r="I74" s="264"/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20"/>
      <c r="X74" s="220"/>
      <c r="Y74" s="220"/>
      <c r="Z74" s="183"/>
      <c r="AA74" s="183"/>
    </row>
    <row r="75" spans="1:27" ht="12.75">
      <c r="A75" s="220"/>
      <c r="B75" s="220"/>
      <c r="C75" s="220"/>
      <c r="D75" s="220"/>
      <c r="E75" s="220"/>
      <c r="F75" s="220"/>
      <c r="G75" s="220"/>
      <c r="H75" s="220"/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0"/>
      <c r="X75" s="220"/>
      <c r="Y75" s="220"/>
      <c r="Z75" s="183"/>
      <c r="AA75" s="183"/>
    </row>
    <row r="76" spans="1:27" ht="12.75">
      <c r="A76" s="220"/>
      <c r="B76" s="220"/>
      <c r="C76" s="220"/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0"/>
      <c r="Z76" s="183"/>
      <c r="AA76" s="183"/>
    </row>
    <row r="77" spans="1:27" ht="12.75">
      <c r="A77" s="221"/>
      <c r="B77" s="221"/>
      <c r="C77" s="221"/>
      <c r="D77" s="221"/>
      <c r="E77" s="221"/>
      <c r="F77" s="221"/>
      <c r="G77" s="221"/>
      <c r="H77" s="221"/>
      <c r="I77" s="221"/>
      <c r="J77" s="221"/>
      <c r="K77" s="221"/>
      <c r="L77" s="221"/>
      <c r="M77" s="221"/>
      <c r="N77" s="221"/>
      <c r="O77" s="221"/>
      <c r="P77" s="221"/>
      <c r="Q77" s="221"/>
      <c r="R77" s="221"/>
      <c r="S77" s="221"/>
      <c r="T77" s="221"/>
      <c r="U77" s="221"/>
      <c r="V77" s="221"/>
      <c r="W77" s="221"/>
      <c r="X77" s="221"/>
      <c r="Y77" s="221"/>
      <c r="Z77" s="183"/>
      <c r="AA77" s="183"/>
    </row>
    <row r="78" spans="1:27" ht="12.75">
      <c r="A78" s="221"/>
      <c r="B78" s="221"/>
      <c r="C78" s="221"/>
      <c r="D78" s="221"/>
      <c r="E78" s="221"/>
      <c r="F78" s="221"/>
      <c r="G78" s="221"/>
      <c r="H78" s="221"/>
      <c r="I78" s="221"/>
      <c r="J78" s="221"/>
      <c r="K78" s="221"/>
      <c r="L78" s="221"/>
      <c r="M78" s="221"/>
      <c r="N78" s="221"/>
      <c r="O78" s="221"/>
      <c r="P78" s="221"/>
      <c r="Q78" s="221"/>
      <c r="R78" s="221"/>
      <c r="S78" s="221"/>
      <c r="T78" s="221"/>
      <c r="U78" s="221"/>
      <c r="V78" s="221"/>
      <c r="W78" s="221"/>
      <c r="X78" s="221"/>
      <c r="Y78" s="221"/>
      <c r="Z78" s="183"/>
      <c r="AA78" s="183"/>
    </row>
    <row r="79" spans="1:27" ht="12.75">
      <c r="A79" s="221"/>
      <c r="B79" s="221"/>
      <c r="C79" s="221"/>
      <c r="D79" s="221"/>
      <c r="E79" s="221"/>
      <c r="F79" s="221"/>
      <c r="G79" s="221"/>
      <c r="H79" s="221"/>
      <c r="I79" s="221"/>
      <c r="J79" s="221"/>
      <c r="K79" s="221"/>
      <c r="L79" s="221"/>
      <c r="M79" s="221"/>
      <c r="N79" s="221"/>
      <c r="O79" s="221"/>
      <c r="P79" s="221"/>
      <c r="Q79" s="221"/>
      <c r="R79" s="221"/>
      <c r="S79" s="221"/>
      <c r="T79" s="221"/>
      <c r="U79" s="221"/>
      <c r="V79" s="221"/>
      <c r="W79" s="221"/>
      <c r="X79" s="221"/>
      <c r="Y79" s="221"/>
      <c r="Z79" s="183"/>
      <c r="AA79" s="183"/>
    </row>
    <row r="80" spans="1:25" ht="12.75">
      <c r="A80" s="221"/>
      <c r="B80" s="221"/>
      <c r="C80" s="221"/>
      <c r="D80" s="221"/>
      <c r="E80" s="221"/>
      <c r="F80" s="221"/>
      <c r="G80" s="221"/>
      <c r="H80" s="221"/>
      <c r="I80" s="221"/>
      <c r="J80" s="221"/>
      <c r="K80" s="221"/>
      <c r="L80" s="221"/>
      <c r="M80" s="221"/>
      <c r="N80" s="221"/>
      <c r="O80" s="221"/>
      <c r="P80" s="221"/>
      <c r="Q80" s="221"/>
      <c r="R80" s="221"/>
      <c r="S80" s="221"/>
      <c r="T80" s="221"/>
      <c r="U80" s="221"/>
      <c r="V80" s="221"/>
      <c r="W80" s="221"/>
      <c r="X80" s="221"/>
      <c r="Y80" s="221"/>
    </row>
    <row r="81" spans="1:25" ht="12.75">
      <c r="A81" s="221"/>
      <c r="B81" s="221"/>
      <c r="C81" s="221"/>
      <c r="D81" s="221"/>
      <c r="E81" s="221"/>
      <c r="F81" s="221"/>
      <c r="G81" s="221"/>
      <c r="H81" s="221"/>
      <c r="I81" s="221"/>
      <c r="J81" s="221"/>
      <c r="K81" s="221"/>
      <c r="L81" s="221"/>
      <c r="M81" s="221"/>
      <c r="N81" s="221"/>
      <c r="O81" s="221"/>
      <c r="P81" s="221"/>
      <c r="Q81" s="221"/>
      <c r="R81" s="221"/>
      <c r="S81" s="221"/>
      <c r="T81" s="221"/>
      <c r="U81" s="221"/>
      <c r="V81" s="221"/>
      <c r="W81" s="221"/>
      <c r="X81" s="221"/>
      <c r="Y81" s="221"/>
    </row>
    <row r="82" spans="1:25" ht="12.75">
      <c r="A82" s="221"/>
      <c r="B82" s="221"/>
      <c r="C82" s="221"/>
      <c r="D82" s="221"/>
      <c r="E82" s="221"/>
      <c r="F82" s="221"/>
      <c r="G82" s="221"/>
      <c r="H82" s="221"/>
      <c r="I82" s="221"/>
      <c r="J82" s="221"/>
      <c r="K82" s="221"/>
      <c r="L82" s="221"/>
      <c r="M82" s="221"/>
      <c r="N82" s="221"/>
      <c r="O82" s="221"/>
      <c r="P82" s="221"/>
      <c r="Q82" s="221"/>
      <c r="R82" s="221"/>
      <c r="S82" s="221"/>
      <c r="T82" s="221"/>
      <c r="U82" s="221"/>
      <c r="V82" s="221"/>
      <c r="W82" s="221"/>
      <c r="X82" s="221"/>
      <c r="Y82" s="221"/>
    </row>
    <row r="83" spans="1:25" ht="12.75">
      <c r="A83" s="221"/>
      <c r="B83" s="221"/>
      <c r="C83" s="221"/>
      <c r="D83" s="221"/>
      <c r="E83" s="221"/>
      <c r="F83" s="221"/>
      <c r="G83" s="221"/>
      <c r="H83" s="221"/>
      <c r="I83" s="221"/>
      <c r="J83" s="221"/>
      <c r="K83" s="221"/>
      <c r="L83" s="221"/>
      <c r="M83" s="221"/>
      <c r="N83" s="221"/>
      <c r="O83" s="221"/>
      <c r="P83" s="221"/>
      <c r="Q83" s="221"/>
      <c r="R83" s="221"/>
      <c r="S83" s="221"/>
      <c r="T83" s="221"/>
      <c r="U83" s="221"/>
      <c r="V83" s="221"/>
      <c r="W83" s="221"/>
      <c r="X83" s="221"/>
      <c r="Y83" s="221"/>
    </row>
    <row r="84" spans="1:25" ht="12.75">
      <c r="A84" s="221"/>
      <c r="B84" s="221"/>
      <c r="C84" s="221"/>
      <c r="D84" s="221"/>
      <c r="E84" s="221"/>
      <c r="F84" s="221"/>
      <c r="G84" s="221"/>
      <c r="H84" s="221"/>
      <c r="I84" s="221"/>
      <c r="J84" s="221"/>
      <c r="K84" s="221"/>
      <c r="L84" s="221"/>
      <c r="M84" s="221"/>
      <c r="N84" s="221"/>
      <c r="O84" s="221"/>
      <c r="P84" s="221"/>
      <c r="Q84" s="221"/>
      <c r="R84" s="221"/>
      <c r="S84" s="221"/>
      <c r="T84" s="221"/>
      <c r="U84" s="221"/>
      <c r="V84" s="221"/>
      <c r="W84" s="221"/>
      <c r="X84" s="221"/>
      <c r="Y84" s="221"/>
    </row>
  </sheetData>
  <sheetProtection/>
  <printOptions horizontalCentered="1" verticalCentered="1"/>
  <pageMargins left="1.03" right="0.3937007874015748" top="0.3937007874015748" bottom="0.3937007874015748" header="0.17" footer="0"/>
  <pageSetup horizontalDpi="300" verticalDpi="300" orientation="landscape" paperSize="5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Y32"/>
  <sheetViews>
    <sheetView zoomScalePageLayoutView="0" workbookViewId="0" topLeftCell="G1">
      <selection activeCell="N25" sqref="N25"/>
    </sheetView>
  </sheetViews>
  <sheetFormatPr defaultColWidth="11.421875" defaultRowHeight="12.75"/>
  <cols>
    <col min="2" max="2" width="17.28125" style="0" customWidth="1"/>
    <col min="3" max="3" width="17.00390625" style="0" customWidth="1"/>
    <col min="4" max="4" width="9.57421875" style="0" customWidth="1"/>
    <col min="5" max="5" width="6.421875" style="0" customWidth="1"/>
    <col min="6" max="6" width="7.28125" style="0" customWidth="1"/>
    <col min="7" max="7" width="8.140625" style="0" customWidth="1"/>
    <col min="8" max="8" width="9.421875" style="0" customWidth="1"/>
    <col min="9" max="9" width="10.57421875" style="0" customWidth="1"/>
    <col min="10" max="10" width="10.140625" style="0" customWidth="1"/>
    <col min="11" max="11" width="9.57421875" style="0" customWidth="1"/>
    <col min="12" max="12" width="10.57421875" style="0" customWidth="1"/>
    <col min="13" max="13" width="9.421875" style="0" customWidth="1"/>
    <col min="14" max="14" width="9.00390625" style="0" customWidth="1"/>
    <col min="15" max="15" width="7.8515625" style="0" customWidth="1"/>
    <col min="16" max="16" width="8.8515625" style="0" customWidth="1"/>
    <col min="17" max="17" width="9.00390625" style="0" customWidth="1"/>
    <col min="18" max="18" width="8.00390625" style="0" customWidth="1"/>
    <col min="19" max="19" width="9.140625" style="0" customWidth="1"/>
    <col min="20" max="20" width="12.421875" style="0" customWidth="1"/>
    <col min="21" max="21" width="11.57421875" style="0" customWidth="1"/>
    <col min="22" max="22" width="8.57421875" style="0" customWidth="1"/>
    <col min="23" max="23" width="9.421875" style="0" customWidth="1"/>
  </cols>
  <sheetData>
    <row r="1" spans="2:23" ht="49.5" customHeight="1">
      <c r="B1" s="222"/>
      <c r="C1" s="223"/>
      <c r="D1" s="223"/>
      <c r="E1" s="223"/>
      <c r="F1" s="223"/>
      <c r="G1" s="224"/>
      <c r="H1" s="225" t="s">
        <v>432</v>
      </c>
      <c r="I1" s="226" t="s">
        <v>433</v>
      </c>
      <c r="J1" s="227" t="s">
        <v>434</v>
      </c>
      <c r="K1" s="228" t="s">
        <v>435</v>
      </c>
      <c r="L1" s="227" t="s">
        <v>436</v>
      </c>
      <c r="M1" s="229" t="s">
        <v>437</v>
      </c>
      <c r="N1" s="230" t="s">
        <v>356</v>
      </c>
      <c r="O1" s="230" t="s">
        <v>357</v>
      </c>
      <c r="P1" s="230" t="s">
        <v>358</v>
      </c>
      <c r="Q1" s="230" t="s">
        <v>359</v>
      </c>
      <c r="R1" s="228" t="s">
        <v>360</v>
      </c>
      <c r="S1" s="231" t="s">
        <v>361</v>
      </c>
      <c r="T1" s="232" t="s">
        <v>345</v>
      </c>
      <c r="U1" s="233" t="s">
        <v>362</v>
      </c>
      <c r="V1" s="230" t="s">
        <v>363</v>
      </c>
      <c r="W1" s="230" t="s">
        <v>364</v>
      </c>
    </row>
    <row r="2" spans="2:23" ht="12.75">
      <c r="B2" s="234"/>
      <c r="C2" s="235"/>
      <c r="D2" s="236" t="s">
        <v>438</v>
      </c>
      <c r="E2" s="236"/>
      <c r="F2" s="235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8"/>
    </row>
    <row r="3" spans="2:25" ht="13.5">
      <c r="B3" s="239" t="s">
        <v>439</v>
      </c>
      <c r="C3" s="240" t="s">
        <v>440</v>
      </c>
      <c r="D3" s="240">
        <v>1175259</v>
      </c>
      <c r="E3" s="240">
        <f>ROUND(D3*5.5/100,0)</f>
        <v>64639</v>
      </c>
      <c r="F3" s="240"/>
      <c r="G3" s="240">
        <f>SUM(D3:E3)</f>
        <v>1239898</v>
      </c>
      <c r="H3" s="240">
        <f>+G3*106%</f>
        <v>1314291.8800000001</v>
      </c>
      <c r="I3" s="240">
        <f aca="true" t="shared" si="0" ref="I3:I8">ROUND(H3*12,0)</f>
        <v>15771503</v>
      </c>
      <c r="J3" s="240">
        <f aca="true" t="shared" si="1" ref="J3:J8">ROUND(I3*4%,0)</f>
        <v>630860</v>
      </c>
      <c r="K3" s="240">
        <f aca="true" t="shared" si="2" ref="K3:K8">ROUND(I3*8.5%,0)</f>
        <v>1340578</v>
      </c>
      <c r="L3" s="240">
        <f aca="true" t="shared" si="3" ref="L3:L8">ROUND($I3*4%,0)</f>
        <v>630860</v>
      </c>
      <c r="M3" s="240">
        <f aca="true" t="shared" si="4" ref="M3:M8">ROUND($I3*12%,0)</f>
        <v>1892580</v>
      </c>
      <c r="N3" s="240">
        <f aca="true" t="shared" si="5" ref="N3:N8">ROUND($I3*0.522%,0)</f>
        <v>82327</v>
      </c>
      <c r="O3" s="240">
        <f aca="true" t="shared" si="6" ref="O3:O8">ROUND($I3*0.5%,0)</f>
        <v>78858</v>
      </c>
      <c r="P3" s="240">
        <f aca="true" t="shared" si="7" ref="P3:P8">ROUND($I3*3%,0)</f>
        <v>473145</v>
      </c>
      <c r="Q3" s="240">
        <f aca="true" t="shared" si="8" ref="Q3:Q8">ROUND($I3*0.5%,0)</f>
        <v>78858</v>
      </c>
      <c r="R3" s="240">
        <f aca="true" t="shared" si="9" ref="R3:R8">ROUND($I3*1%,0)</f>
        <v>157715</v>
      </c>
      <c r="S3" s="240">
        <f aca="true" t="shared" si="10" ref="S3:S8">ROUND(I3*4%,0)</f>
        <v>630860</v>
      </c>
      <c r="T3" s="240">
        <f aca="true" t="shared" si="11" ref="T3:T8">G3+X3+V3</f>
        <v>1291560</v>
      </c>
      <c r="U3" s="240">
        <f aca="true" t="shared" si="12" ref="U3:U8">ROUND(G3/2,0)</f>
        <v>619949</v>
      </c>
      <c r="V3" s="240">
        <f aca="true" t="shared" si="13" ref="V3:V8">ROUND(U3/12,0)</f>
        <v>51662</v>
      </c>
      <c r="W3" s="241">
        <f aca="true" t="shared" si="14" ref="W3:W8">H3+V3</f>
        <v>1365953.8800000001</v>
      </c>
      <c r="X3" s="242"/>
      <c r="Y3" s="242"/>
    </row>
    <row r="4" spans="2:25" ht="13.5">
      <c r="B4" s="243" t="s">
        <v>441</v>
      </c>
      <c r="C4" s="244" t="s">
        <v>442</v>
      </c>
      <c r="D4" s="244">
        <v>780984</v>
      </c>
      <c r="E4" s="240"/>
      <c r="F4" s="244">
        <v>55000</v>
      </c>
      <c r="G4" s="244">
        <f>SUM(D4:F4)</f>
        <v>835984</v>
      </c>
      <c r="H4" s="240">
        <f>+G4*106%</f>
        <v>886143.04</v>
      </c>
      <c r="I4" s="240">
        <f t="shared" si="0"/>
        <v>10633716</v>
      </c>
      <c r="J4" s="240">
        <f t="shared" si="1"/>
        <v>425349</v>
      </c>
      <c r="K4" s="240">
        <f t="shared" si="2"/>
        <v>903866</v>
      </c>
      <c r="L4" s="240">
        <f t="shared" si="3"/>
        <v>425349</v>
      </c>
      <c r="M4" s="240">
        <f t="shared" si="4"/>
        <v>1276046</v>
      </c>
      <c r="N4" s="240">
        <f t="shared" si="5"/>
        <v>55508</v>
      </c>
      <c r="O4" s="240">
        <f t="shared" si="6"/>
        <v>53169</v>
      </c>
      <c r="P4" s="240">
        <f t="shared" si="7"/>
        <v>319011</v>
      </c>
      <c r="Q4" s="240">
        <f t="shared" si="8"/>
        <v>53169</v>
      </c>
      <c r="R4" s="240">
        <f t="shared" si="9"/>
        <v>106337</v>
      </c>
      <c r="S4" s="240">
        <f t="shared" si="10"/>
        <v>425349</v>
      </c>
      <c r="T4" s="240">
        <f t="shared" si="11"/>
        <v>870817</v>
      </c>
      <c r="U4" s="244">
        <f t="shared" si="12"/>
        <v>417992</v>
      </c>
      <c r="V4" s="244">
        <f t="shared" si="13"/>
        <v>34833</v>
      </c>
      <c r="W4" s="241">
        <f t="shared" si="14"/>
        <v>920976.04</v>
      </c>
      <c r="X4" s="242"/>
      <c r="Y4" s="242"/>
    </row>
    <row r="5" spans="2:25" ht="13.5">
      <c r="B5" s="239" t="s">
        <v>443</v>
      </c>
      <c r="C5" s="244" t="s">
        <v>442</v>
      </c>
      <c r="D5" s="244">
        <v>780984</v>
      </c>
      <c r="E5" s="240"/>
      <c r="F5" s="240"/>
      <c r="G5" s="240">
        <f>SUM(D5:E5)</f>
        <v>780984</v>
      </c>
      <c r="H5" s="240">
        <f>+G5*106%</f>
        <v>827843.04</v>
      </c>
      <c r="I5" s="240">
        <f t="shared" si="0"/>
        <v>9934116</v>
      </c>
      <c r="J5" s="240">
        <f t="shared" si="1"/>
        <v>397365</v>
      </c>
      <c r="K5" s="240">
        <f t="shared" si="2"/>
        <v>844400</v>
      </c>
      <c r="L5" s="240">
        <f t="shared" si="3"/>
        <v>397365</v>
      </c>
      <c r="M5" s="240">
        <f t="shared" si="4"/>
        <v>1192094</v>
      </c>
      <c r="N5" s="240">
        <f t="shared" si="5"/>
        <v>51856</v>
      </c>
      <c r="O5" s="240">
        <f t="shared" si="6"/>
        <v>49671</v>
      </c>
      <c r="P5" s="240">
        <f t="shared" si="7"/>
        <v>298023</v>
      </c>
      <c r="Q5" s="240">
        <f t="shared" si="8"/>
        <v>49671</v>
      </c>
      <c r="R5" s="240">
        <f t="shared" si="9"/>
        <v>99341</v>
      </c>
      <c r="S5" s="240">
        <f t="shared" si="10"/>
        <v>397365</v>
      </c>
      <c r="T5" s="240">
        <f t="shared" si="11"/>
        <v>813525</v>
      </c>
      <c r="U5" s="240">
        <f t="shared" si="12"/>
        <v>390492</v>
      </c>
      <c r="V5" s="240">
        <f t="shared" si="13"/>
        <v>32541</v>
      </c>
      <c r="W5" s="241">
        <f t="shared" si="14"/>
        <v>860384.04</v>
      </c>
      <c r="X5" s="242"/>
      <c r="Y5" s="242"/>
    </row>
    <row r="6" spans="2:25" ht="13.5">
      <c r="B6" s="243" t="s">
        <v>444</v>
      </c>
      <c r="C6" s="244" t="s">
        <v>442</v>
      </c>
      <c r="D6" s="244">
        <v>780984</v>
      </c>
      <c r="E6" s="240"/>
      <c r="F6" s="244"/>
      <c r="G6" s="244">
        <f>SUM(D6:E6)</f>
        <v>780984</v>
      </c>
      <c r="H6" s="240">
        <v>461500</v>
      </c>
      <c r="I6" s="240">
        <f t="shared" si="0"/>
        <v>5538000</v>
      </c>
      <c r="J6" s="240">
        <f t="shared" si="1"/>
        <v>221520</v>
      </c>
      <c r="K6" s="240">
        <f t="shared" si="2"/>
        <v>470730</v>
      </c>
      <c r="L6" s="240">
        <f t="shared" si="3"/>
        <v>221520</v>
      </c>
      <c r="M6" s="240">
        <f t="shared" si="4"/>
        <v>664560</v>
      </c>
      <c r="N6" s="240">
        <f t="shared" si="5"/>
        <v>28908</v>
      </c>
      <c r="O6" s="240">
        <f t="shared" si="6"/>
        <v>27690</v>
      </c>
      <c r="P6" s="240">
        <f t="shared" si="7"/>
        <v>166140</v>
      </c>
      <c r="Q6" s="240">
        <f t="shared" si="8"/>
        <v>27690</v>
      </c>
      <c r="R6" s="240">
        <f t="shared" si="9"/>
        <v>55380</v>
      </c>
      <c r="S6" s="240">
        <f t="shared" si="10"/>
        <v>221520</v>
      </c>
      <c r="T6" s="240">
        <f t="shared" si="11"/>
        <v>813525</v>
      </c>
      <c r="U6" s="240">
        <f t="shared" si="12"/>
        <v>390492</v>
      </c>
      <c r="V6" s="244">
        <f t="shared" si="13"/>
        <v>32541</v>
      </c>
      <c r="W6" s="241">
        <f t="shared" si="14"/>
        <v>494041</v>
      </c>
      <c r="X6" s="242"/>
      <c r="Y6" s="242"/>
    </row>
    <row r="7" spans="2:25" ht="13.5">
      <c r="B7" s="243" t="s">
        <v>445</v>
      </c>
      <c r="C7" s="244" t="s">
        <v>442</v>
      </c>
      <c r="D7" s="240">
        <v>780984</v>
      </c>
      <c r="E7" s="240"/>
      <c r="F7" s="244">
        <v>55000</v>
      </c>
      <c r="G7" s="244">
        <f>SUM(D7:F7)</f>
        <v>835984</v>
      </c>
      <c r="H7" s="240">
        <f>+G7*106%</f>
        <v>886143.04</v>
      </c>
      <c r="I7" s="240">
        <f t="shared" si="0"/>
        <v>10633716</v>
      </c>
      <c r="J7" s="240">
        <f t="shared" si="1"/>
        <v>425349</v>
      </c>
      <c r="K7" s="240">
        <f t="shared" si="2"/>
        <v>903866</v>
      </c>
      <c r="L7" s="240">
        <f t="shared" si="3"/>
        <v>425349</v>
      </c>
      <c r="M7" s="240">
        <f t="shared" si="4"/>
        <v>1276046</v>
      </c>
      <c r="N7" s="240">
        <f t="shared" si="5"/>
        <v>55508</v>
      </c>
      <c r="O7" s="240">
        <f t="shared" si="6"/>
        <v>53169</v>
      </c>
      <c r="P7" s="240">
        <f t="shared" si="7"/>
        <v>319011</v>
      </c>
      <c r="Q7" s="240">
        <f t="shared" si="8"/>
        <v>53169</v>
      </c>
      <c r="R7" s="240">
        <f t="shared" si="9"/>
        <v>106337</v>
      </c>
      <c r="S7" s="240">
        <f t="shared" si="10"/>
        <v>425349</v>
      </c>
      <c r="T7" s="240">
        <f t="shared" si="11"/>
        <v>870817</v>
      </c>
      <c r="U7" s="240">
        <f t="shared" si="12"/>
        <v>417992</v>
      </c>
      <c r="V7" s="244">
        <f t="shared" si="13"/>
        <v>34833</v>
      </c>
      <c r="W7" s="241">
        <f t="shared" si="14"/>
        <v>920976.04</v>
      </c>
      <c r="X7" s="242"/>
      <c r="Y7" s="242"/>
    </row>
    <row r="8" spans="2:25" ht="13.5">
      <c r="B8" s="243" t="s">
        <v>446</v>
      </c>
      <c r="C8" s="244" t="s">
        <v>442</v>
      </c>
      <c r="D8" s="240">
        <v>780984</v>
      </c>
      <c r="E8" s="240"/>
      <c r="F8" s="244">
        <v>55000</v>
      </c>
      <c r="G8" s="244">
        <f>SUM(D8:F8)</f>
        <v>835984</v>
      </c>
      <c r="H8" s="240">
        <f>+G8*106%</f>
        <v>886143.04</v>
      </c>
      <c r="I8" s="240">
        <f t="shared" si="0"/>
        <v>10633716</v>
      </c>
      <c r="J8" s="240">
        <f t="shared" si="1"/>
        <v>425349</v>
      </c>
      <c r="K8" s="240">
        <f t="shared" si="2"/>
        <v>903866</v>
      </c>
      <c r="L8" s="240">
        <f t="shared" si="3"/>
        <v>425349</v>
      </c>
      <c r="M8" s="240">
        <f t="shared" si="4"/>
        <v>1276046</v>
      </c>
      <c r="N8" s="240">
        <f t="shared" si="5"/>
        <v>55508</v>
      </c>
      <c r="O8" s="240">
        <f t="shared" si="6"/>
        <v>53169</v>
      </c>
      <c r="P8" s="240">
        <f t="shared" si="7"/>
        <v>319011</v>
      </c>
      <c r="Q8" s="240">
        <f t="shared" si="8"/>
        <v>53169</v>
      </c>
      <c r="R8" s="240">
        <f t="shared" si="9"/>
        <v>106337</v>
      </c>
      <c r="S8" s="240">
        <f t="shared" si="10"/>
        <v>425349</v>
      </c>
      <c r="T8" s="240">
        <f t="shared" si="11"/>
        <v>870817</v>
      </c>
      <c r="U8" s="240">
        <f t="shared" si="12"/>
        <v>417992</v>
      </c>
      <c r="V8" s="244">
        <f t="shared" si="13"/>
        <v>34833</v>
      </c>
      <c r="W8" s="241">
        <f t="shared" si="14"/>
        <v>920976.04</v>
      </c>
      <c r="X8" s="242"/>
      <c r="Y8" s="242"/>
    </row>
    <row r="9" spans="2:25" ht="13.5">
      <c r="B9" s="245" t="s">
        <v>224</v>
      </c>
      <c r="C9" s="246"/>
      <c r="D9" s="246">
        <f>SUM(D3:D8)</f>
        <v>5080179</v>
      </c>
      <c r="E9" s="246"/>
      <c r="F9" s="246">
        <f>SUM(F4:F8)</f>
        <v>165000</v>
      </c>
      <c r="G9" s="246">
        <f aca="true" t="shared" si="15" ref="G9:W9">SUM(G3:G8)</f>
        <v>5309818</v>
      </c>
      <c r="H9" s="246">
        <f t="shared" si="15"/>
        <v>5262064.04</v>
      </c>
      <c r="I9" s="246">
        <f t="shared" si="15"/>
        <v>63144767</v>
      </c>
      <c r="J9" s="246">
        <f t="shared" si="15"/>
        <v>2525792</v>
      </c>
      <c r="K9" s="246">
        <f t="shared" si="15"/>
        <v>5367306</v>
      </c>
      <c r="L9" s="246">
        <f t="shared" si="15"/>
        <v>2525792</v>
      </c>
      <c r="M9" s="246">
        <f t="shared" si="15"/>
        <v>7577372</v>
      </c>
      <c r="N9" s="246">
        <f t="shared" si="15"/>
        <v>329615</v>
      </c>
      <c r="O9" s="246">
        <f t="shared" si="15"/>
        <v>315726</v>
      </c>
      <c r="P9" s="246">
        <f t="shared" si="15"/>
        <v>1894341</v>
      </c>
      <c r="Q9" s="246">
        <f t="shared" si="15"/>
        <v>315726</v>
      </c>
      <c r="R9" s="246">
        <f t="shared" si="15"/>
        <v>631447</v>
      </c>
      <c r="S9" s="246">
        <f t="shared" si="15"/>
        <v>2525792</v>
      </c>
      <c r="T9" s="246">
        <f t="shared" si="15"/>
        <v>5531061</v>
      </c>
      <c r="U9" s="246">
        <f t="shared" si="15"/>
        <v>2654909</v>
      </c>
      <c r="V9" s="246">
        <f t="shared" si="15"/>
        <v>221243</v>
      </c>
      <c r="W9" s="247">
        <f t="shared" si="15"/>
        <v>5483307.04</v>
      </c>
      <c r="X9" s="242"/>
      <c r="Y9" s="242"/>
    </row>
    <row r="10" spans="2:25" ht="13.5">
      <c r="B10" s="248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50"/>
      <c r="X10" s="242"/>
      <c r="Y10" s="242"/>
    </row>
    <row r="11" spans="2:25" ht="13.5">
      <c r="B11" s="248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50"/>
      <c r="X11" s="242"/>
      <c r="Y11" s="242"/>
    </row>
    <row r="12" spans="2:25" ht="13.5">
      <c r="B12" s="251"/>
      <c r="C12" s="252"/>
      <c r="D12" s="253" t="s">
        <v>447</v>
      </c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4"/>
      <c r="X12" s="242"/>
      <c r="Y12" s="242"/>
    </row>
    <row r="13" spans="2:25" ht="13.5">
      <c r="B13" s="243" t="s">
        <v>448</v>
      </c>
      <c r="C13" s="244" t="s">
        <v>449</v>
      </c>
      <c r="D13" s="244">
        <v>1500000</v>
      </c>
      <c r="E13" s="244"/>
      <c r="F13" s="244"/>
      <c r="G13" s="244">
        <f>SUM(D13:E13)</f>
        <v>1500000</v>
      </c>
      <c r="H13" s="240">
        <f>+G13*106%</f>
        <v>1590000</v>
      </c>
      <c r="I13" s="244">
        <f>ROUND(H13*12,0)</f>
        <v>19080000</v>
      </c>
      <c r="J13" s="244">
        <f>ROUND(I13*4%,0)</f>
        <v>763200</v>
      </c>
      <c r="K13" s="244">
        <f>ROUND(I13*8.5%,0)</f>
        <v>1621800</v>
      </c>
      <c r="L13" s="244">
        <f>ROUND($I13*4%,0)</f>
        <v>763200</v>
      </c>
      <c r="M13" s="244">
        <f>ROUND($I13*12%,0)</f>
        <v>2289600</v>
      </c>
      <c r="N13" s="244">
        <f>ROUND($I13*0.522%,0)</f>
        <v>99598</v>
      </c>
      <c r="O13" s="244">
        <f>ROUND($I13*0.5%,0)</f>
        <v>95400</v>
      </c>
      <c r="P13" s="244">
        <f>ROUND($I13*3%,0)</f>
        <v>572400</v>
      </c>
      <c r="Q13" s="244">
        <f>ROUND($I13*0.5%,0)</f>
        <v>95400</v>
      </c>
      <c r="R13" s="244">
        <f>ROUND($I13*1%,0)</f>
        <v>190800</v>
      </c>
      <c r="S13" s="244">
        <f>ROUND(I13*4%,0)</f>
        <v>763200</v>
      </c>
      <c r="T13" s="244">
        <f>G13+X13+V13</f>
        <v>1562500</v>
      </c>
      <c r="U13" s="244">
        <f>ROUND(G13/2,0)</f>
        <v>750000</v>
      </c>
      <c r="V13" s="244">
        <f>ROUND(U13/12,0)</f>
        <v>62500</v>
      </c>
      <c r="W13" s="244">
        <f>H13+V13</f>
        <v>1652500</v>
      </c>
      <c r="X13" s="242"/>
      <c r="Y13" s="242"/>
    </row>
    <row r="14" spans="2:25" ht="13.5">
      <c r="B14" s="243" t="s">
        <v>450</v>
      </c>
      <c r="C14" s="244" t="s">
        <v>451</v>
      </c>
      <c r="D14" s="244">
        <v>631508</v>
      </c>
      <c r="E14" s="244"/>
      <c r="F14" s="244"/>
      <c r="G14" s="244">
        <f>SUM(D14:E14)</f>
        <v>631508</v>
      </c>
      <c r="H14" s="240">
        <f>+G14*106%</f>
        <v>669398.48</v>
      </c>
      <c r="I14" s="244">
        <f>ROUND(H14*12,0)</f>
        <v>8032782</v>
      </c>
      <c r="J14" s="244">
        <f>ROUND(I14*4%,0)</f>
        <v>321311</v>
      </c>
      <c r="K14" s="244">
        <f>ROUND(I14*8.5%,0)</f>
        <v>682786</v>
      </c>
      <c r="L14" s="244">
        <f>ROUND($I14*4%,0)</f>
        <v>321311</v>
      </c>
      <c r="M14" s="244">
        <f>ROUND($I14*12%,0)</f>
        <v>963934</v>
      </c>
      <c r="N14" s="244">
        <f>ROUND($I14*0.522%,0)</f>
        <v>41931</v>
      </c>
      <c r="O14" s="244">
        <f>ROUND($I14*0.5%,0)</f>
        <v>40164</v>
      </c>
      <c r="P14" s="244">
        <f>ROUND($I14*3%,0)</f>
        <v>240983</v>
      </c>
      <c r="Q14" s="244">
        <f>ROUND($I14*0.5%,0)</f>
        <v>40164</v>
      </c>
      <c r="R14" s="244">
        <f>ROUND($I14*1%,0)</f>
        <v>80328</v>
      </c>
      <c r="S14" s="244">
        <f>ROUND(I14*4%,0)</f>
        <v>321311</v>
      </c>
      <c r="T14" s="244">
        <f>G14+X14+V14</f>
        <v>657821</v>
      </c>
      <c r="U14" s="244">
        <f>ROUND(G14/2,0)</f>
        <v>315754</v>
      </c>
      <c r="V14" s="244">
        <f>ROUND(U14/12,0)</f>
        <v>26313</v>
      </c>
      <c r="W14" s="244">
        <f>H14+V14</f>
        <v>695711.48</v>
      </c>
      <c r="X14" s="242"/>
      <c r="Y14" s="242"/>
    </row>
    <row r="15" spans="2:25" ht="14.25" thickBot="1">
      <c r="B15" s="255" t="s">
        <v>180</v>
      </c>
      <c r="C15" s="256"/>
      <c r="D15" s="257">
        <f>SUM(D13:D14)</f>
        <v>2131508</v>
      </c>
      <c r="E15" s="258"/>
      <c r="F15" s="258"/>
      <c r="G15" s="257">
        <f aca="true" t="shared" si="16" ref="G15:W15">SUM(G13:G14)</f>
        <v>2131508</v>
      </c>
      <c r="H15" s="257">
        <f t="shared" si="16"/>
        <v>2259398.48</v>
      </c>
      <c r="I15" s="257">
        <f t="shared" si="16"/>
        <v>27112782</v>
      </c>
      <c r="J15" s="257">
        <f t="shared" si="16"/>
        <v>1084511</v>
      </c>
      <c r="K15" s="257">
        <f t="shared" si="16"/>
        <v>2304586</v>
      </c>
      <c r="L15" s="257">
        <f t="shared" si="16"/>
        <v>1084511</v>
      </c>
      <c r="M15" s="257">
        <f t="shared" si="16"/>
        <v>3253534</v>
      </c>
      <c r="N15" s="257">
        <f t="shared" si="16"/>
        <v>141529</v>
      </c>
      <c r="O15" s="257">
        <f t="shared" si="16"/>
        <v>135564</v>
      </c>
      <c r="P15" s="257">
        <f t="shared" si="16"/>
        <v>813383</v>
      </c>
      <c r="Q15" s="257">
        <f t="shared" si="16"/>
        <v>135564</v>
      </c>
      <c r="R15" s="257">
        <f t="shared" si="16"/>
        <v>271128</v>
      </c>
      <c r="S15" s="257">
        <f t="shared" si="16"/>
        <v>1084511</v>
      </c>
      <c r="T15" s="257">
        <f t="shared" si="16"/>
        <v>2220321</v>
      </c>
      <c r="U15" s="257">
        <f t="shared" si="16"/>
        <v>1065754</v>
      </c>
      <c r="V15" s="257">
        <f t="shared" si="16"/>
        <v>88813</v>
      </c>
      <c r="W15" s="259">
        <f t="shared" si="16"/>
        <v>2348211.48</v>
      </c>
      <c r="X15" s="242"/>
      <c r="Y15" s="242"/>
    </row>
    <row r="16" spans="2:25" ht="13.5"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</row>
    <row r="17" spans="2:25" ht="13.5"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</row>
    <row r="21" ht="12.75">
      <c r="W21" s="260"/>
    </row>
    <row r="29" ht="12.75">
      <c r="I29" s="261"/>
    </row>
    <row r="31" ht="12.75">
      <c r="I31" s="262"/>
    </row>
    <row r="32" ht="12.75">
      <c r="I32" s="261"/>
    </row>
  </sheetData>
  <sheetProtection/>
  <printOptions horizontalCentered="1" verticalCentered="1"/>
  <pageMargins left="0" right="0" top="0" bottom="0" header="0" footer="0"/>
  <pageSetup horizontalDpi="300" verticalDpi="300" orientation="landscape" paperSize="5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431"/>
  <sheetViews>
    <sheetView zoomScalePageLayoutView="0" workbookViewId="0" topLeftCell="B414">
      <selection activeCell="A424" sqref="A424:C424"/>
    </sheetView>
  </sheetViews>
  <sheetFormatPr defaultColWidth="11.421875" defaultRowHeight="12.75"/>
  <cols>
    <col min="1" max="1" width="45.7109375" style="1" customWidth="1"/>
    <col min="2" max="2" width="44.8515625" style="1" customWidth="1"/>
    <col min="3" max="3" width="24.28125" style="2" customWidth="1"/>
    <col min="4" max="16384" width="11.421875" style="1" customWidth="1"/>
  </cols>
  <sheetData>
    <row r="2" spans="1:3" ht="15">
      <c r="A2" s="332" t="s">
        <v>459</v>
      </c>
      <c r="B2" s="332"/>
      <c r="C2" s="332"/>
    </row>
    <row r="4" spans="1:3" s="23" customFormat="1" ht="15">
      <c r="A4" s="20" t="s">
        <v>6</v>
      </c>
      <c r="B4" s="21"/>
      <c r="C4" s="22"/>
    </row>
    <row r="5" spans="1:3" s="23" customFormat="1" ht="15">
      <c r="A5" s="305" t="s">
        <v>7</v>
      </c>
      <c r="B5" s="306"/>
      <c r="C5" s="28">
        <v>300417500</v>
      </c>
    </row>
    <row r="6" spans="1:3" s="23" customFormat="1" ht="15">
      <c r="A6" s="305" t="s">
        <v>8</v>
      </c>
      <c r="B6" s="307"/>
      <c r="C6" s="28">
        <v>9495000</v>
      </c>
    </row>
    <row r="7" spans="1:3" s="23" customFormat="1" ht="15">
      <c r="A7" s="305" t="s">
        <v>9</v>
      </c>
      <c r="B7" s="306"/>
      <c r="C7" s="28">
        <v>70178000</v>
      </c>
    </row>
    <row r="8" spans="1:3" s="23" customFormat="1" ht="15.75">
      <c r="A8" s="32"/>
      <c r="B8" s="21"/>
      <c r="C8" s="33">
        <f>SUM(C5:C7)</f>
        <v>380090500</v>
      </c>
    </row>
    <row r="9" spans="1:3" s="23" customFormat="1" ht="23.25" customHeight="1">
      <c r="A9" s="20" t="s">
        <v>10</v>
      </c>
      <c r="B9" s="21"/>
      <c r="C9" s="22"/>
    </row>
    <row r="10" spans="1:3" s="23" customFormat="1" ht="15.75" customHeight="1">
      <c r="A10" s="305" t="s">
        <v>11</v>
      </c>
      <c r="B10" s="306"/>
      <c r="C10" s="28">
        <v>42041050</v>
      </c>
    </row>
    <row r="11" spans="1:3" s="23" customFormat="1" ht="15.75" customHeight="1">
      <c r="A11" s="35" t="s">
        <v>12</v>
      </c>
      <c r="B11" s="36"/>
      <c r="C11" s="28">
        <v>6306157</v>
      </c>
    </row>
    <row r="12" spans="1:3" s="23" customFormat="1" ht="15.75" customHeight="1">
      <c r="A12" s="35" t="s">
        <v>13</v>
      </c>
      <c r="B12" s="36"/>
      <c r="C12" s="28">
        <v>60000</v>
      </c>
    </row>
    <row r="13" spans="1:3" s="23" customFormat="1" ht="15.75" customHeight="1">
      <c r="A13" s="305" t="s">
        <v>14</v>
      </c>
      <c r="B13" s="306"/>
      <c r="C13" s="28">
        <v>21100</v>
      </c>
    </row>
    <row r="14" spans="1:3" s="23" customFormat="1" ht="15.75" customHeight="1">
      <c r="A14" s="35" t="s">
        <v>15</v>
      </c>
      <c r="B14" s="36"/>
      <c r="C14" s="28">
        <v>184625</v>
      </c>
    </row>
    <row r="15" spans="1:3" s="23" customFormat="1" ht="15">
      <c r="A15" s="305" t="s">
        <v>16</v>
      </c>
      <c r="B15" s="306"/>
      <c r="C15" s="28">
        <v>995000</v>
      </c>
    </row>
    <row r="16" spans="1:3" s="23" customFormat="1" ht="15.75" customHeight="1">
      <c r="A16" s="35" t="s">
        <v>17</v>
      </c>
      <c r="B16" s="36"/>
      <c r="C16" s="28">
        <v>116050</v>
      </c>
    </row>
    <row r="17" spans="1:3" s="23" customFormat="1" ht="15.75" customHeight="1">
      <c r="A17" s="38" t="s">
        <v>18</v>
      </c>
      <c r="B17" s="39"/>
      <c r="C17" s="28">
        <v>1477000</v>
      </c>
    </row>
    <row r="18" spans="1:3" s="23" customFormat="1" ht="15.75" customHeight="1">
      <c r="A18" s="38" t="s">
        <v>19</v>
      </c>
      <c r="B18" s="39"/>
      <c r="C18" s="28">
        <v>80182110</v>
      </c>
    </row>
    <row r="19" spans="1:3" s="23" customFormat="1" ht="15.75" customHeight="1">
      <c r="A19" s="38" t="s">
        <v>268</v>
      </c>
      <c r="B19" s="39"/>
      <c r="C19" s="28">
        <v>11255844</v>
      </c>
    </row>
    <row r="20" spans="1:3" s="23" customFormat="1" ht="15.75" customHeight="1">
      <c r="A20" s="38" t="s">
        <v>20</v>
      </c>
      <c r="B20" s="39"/>
      <c r="C20" s="28">
        <v>12187500</v>
      </c>
    </row>
    <row r="21" spans="1:3" s="23" customFormat="1" ht="15.75" customHeight="1">
      <c r="A21" s="38" t="s">
        <v>21</v>
      </c>
      <c r="B21" s="39"/>
      <c r="C21" s="28">
        <v>17334565</v>
      </c>
    </row>
    <row r="22" spans="1:3" s="23" customFormat="1" ht="15.75" customHeight="1">
      <c r="A22" s="35" t="s">
        <v>22</v>
      </c>
      <c r="B22" s="36"/>
      <c r="C22" s="28">
        <v>12321000</v>
      </c>
    </row>
    <row r="23" spans="1:3" s="23" customFormat="1" ht="21" customHeight="1">
      <c r="A23" s="32"/>
      <c r="B23" s="21"/>
      <c r="C23" s="33">
        <f>SUM(C10:C22)</f>
        <v>184482001</v>
      </c>
    </row>
    <row r="24" spans="1:3" s="23" customFormat="1" ht="4.5" customHeight="1">
      <c r="A24" s="32"/>
      <c r="B24" s="21"/>
      <c r="C24" s="22"/>
    </row>
    <row r="25" spans="1:3" s="23" customFormat="1" ht="21" customHeight="1">
      <c r="A25" s="281" t="s">
        <v>23</v>
      </c>
      <c r="B25" s="282"/>
      <c r="C25" s="22"/>
    </row>
    <row r="26" spans="1:3" s="23" customFormat="1" ht="17.25" customHeight="1">
      <c r="A26" s="20" t="s">
        <v>24</v>
      </c>
      <c r="B26" s="21"/>
      <c r="C26" s="22"/>
    </row>
    <row r="27" spans="1:3" s="23" customFormat="1" ht="17.25" customHeight="1">
      <c r="A27" s="283" t="s">
        <v>25</v>
      </c>
      <c r="B27" s="284"/>
      <c r="C27" s="28">
        <v>20341455</v>
      </c>
    </row>
    <row r="28" spans="1:3" s="23" customFormat="1" ht="17.25" customHeight="1">
      <c r="A28" s="35" t="s">
        <v>26</v>
      </c>
      <c r="B28" s="36"/>
      <c r="C28" s="28">
        <v>575000</v>
      </c>
    </row>
    <row r="29" spans="1:3" s="23" customFormat="1" ht="17.25" customHeight="1">
      <c r="A29" s="38" t="s">
        <v>27</v>
      </c>
      <c r="B29" s="39"/>
      <c r="C29" s="28">
        <v>5510900</v>
      </c>
    </row>
    <row r="30" spans="1:3" s="23" customFormat="1" ht="17.25" customHeight="1">
      <c r="A30" s="38" t="s">
        <v>28</v>
      </c>
      <c r="B30" s="39"/>
      <c r="C30" s="28">
        <v>3350000</v>
      </c>
    </row>
    <row r="31" spans="1:3" s="23" customFormat="1" ht="17.25" customHeight="1">
      <c r="A31" s="35" t="s">
        <v>29</v>
      </c>
      <c r="B31" s="36"/>
      <c r="C31" s="28">
        <v>13904900</v>
      </c>
    </row>
    <row r="32" spans="1:3" s="23" customFormat="1" ht="17.25" customHeight="1">
      <c r="A32" s="35" t="s">
        <v>30</v>
      </c>
      <c r="B32" s="36"/>
      <c r="C32" s="28">
        <v>2106300</v>
      </c>
    </row>
    <row r="33" spans="1:3" s="23" customFormat="1" ht="17.25" customHeight="1">
      <c r="A33" s="305" t="s">
        <v>31</v>
      </c>
      <c r="B33" s="306"/>
      <c r="C33" s="28">
        <v>12950000</v>
      </c>
    </row>
    <row r="34" spans="1:3" s="23" customFormat="1" ht="17.25" customHeight="1">
      <c r="A34" s="283" t="s">
        <v>32</v>
      </c>
      <c r="B34" s="284"/>
      <c r="C34" s="28">
        <v>1000</v>
      </c>
    </row>
    <row r="35" spans="1:3" s="23" customFormat="1" ht="17.25" customHeight="1">
      <c r="A35" s="35" t="s">
        <v>33</v>
      </c>
      <c r="B35" s="36"/>
      <c r="C35" s="28">
        <v>160387</v>
      </c>
    </row>
    <row r="36" spans="1:3" s="23" customFormat="1" ht="17.25" customHeight="1">
      <c r="A36" s="38" t="s">
        <v>34</v>
      </c>
      <c r="B36" s="39"/>
      <c r="C36" s="28">
        <v>35966005</v>
      </c>
    </row>
    <row r="37" spans="1:3" s="23" customFormat="1" ht="17.25" customHeight="1">
      <c r="A37" s="35" t="s">
        <v>35</v>
      </c>
      <c r="B37" s="36"/>
      <c r="C37" s="28">
        <v>10012210</v>
      </c>
    </row>
    <row r="38" spans="1:3" s="23" customFormat="1" ht="21" customHeight="1">
      <c r="A38" s="35" t="s">
        <v>36</v>
      </c>
      <c r="B38" s="36"/>
      <c r="C38" s="28">
        <v>3112250</v>
      </c>
    </row>
    <row r="39" spans="1:3" s="23" customFormat="1" ht="18" customHeight="1">
      <c r="A39" s="32"/>
      <c r="B39" s="21"/>
      <c r="C39" s="33">
        <f>SUM(C27:C38)</f>
        <v>107990407</v>
      </c>
    </row>
    <row r="40" spans="1:3" s="23" customFormat="1" ht="3" customHeight="1">
      <c r="A40" s="32"/>
      <c r="B40" s="21"/>
      <c r="C40" s="22"/>
    </row>
    <row r="41" spans="1:3" s="23" customFormat="1" ht="15">
      <c r="A41" s="20" t="s">
        <v>37</v>
      </c>
      <c r="B41" s="21"/>
      <c r="C41" s="22"/>
    </row>
    <row r="42" spans="1:3" s="23" customFormat="1" ht="17.25" customHeight="1">
      <c r="A42" s="35" t="s">
        <v>38</v>
      </c>
      <c r="B42" s="36"/>
      <c r="C42" s="28">
        <v>255000</v>
      </c>
    </row>
    <row r="43" spans="1:3" s="23" customFormat="1" ht="17.25" customHeight="1">
      <c r="A43" s="35" t="s">
        <v>39</v>
      </c>
      <c r="B43" s="36"/>
      <c r="C43" s="28">
        <v>2000000</v>
      </c>
    </row>
    <row r="44" spans="1:3" s="23" customFormat="1" ht="17.25" customHeight="1">
      <c r="A44" s="35" t="s">
        <v>40</v>
      </c>
      <c r="B44" s="36"/>
      <c r="C44" s="28">
        <v>15590325</v>
      </c>
    </row>
    <row r="45" spans="1:3" s="23" customFormat="1" ht="15.75">
      <c r="A45" s="32"/>
      <c r="B45" s="21"/>
      <c r="C45" s="33">
        <f>SUM(C42:C44)</f>
        <v>17845325</v>
      </c>
    </row>
    <row r="46" spans="1:3" s="23" customFormat="1" ht="7.5" customHeight="1">
      <c r="A46" s="32"/>
      <c r="B46" s="21"/>
      <c r="C46" s="22"/>
    </row>
    <row r="47" spans="1:3" s="23" customFormat="1" ht="24" customHeight="1">
      <c r="A47" s="285" t="s">
        <v>41</v>
      </c>
      <c r="B47" s="285"/>
      <c r="C47" s="22"/>
    </row>
    <row r="48" spans="1:3" s="23" customFormat="1" ht="18.75" customHeight="1">
      <c r="A48" s="35" t="s">
        <v>42</v>
      </c>
      <c r="B48" s="36"/>
      <c r="C48" s="28">
        <v>5500000</v>
      </c>
    </row>
    <row r="49" spans="1:3" s="23" customFormat="1" ht="18.75" customHeight="1">
      <c r="A49" s="35" t="s">
        <v>43</v>
      </c>
      <c r="B49" s="36"/>
      <c r="C49" s="28">
        <v>19277345</v>
      </c>
    </row>
    <row r="50" spans="1:3" s="23" customFormat="1" ht="18.75" customHeight="1">
      <c r="A50" s="283" t="s">
        <v>44</v>
      </c>
      <c r="B50" s="284"/>
      <c r="C50" s="28">
        <v>250000</v>
      </c>
    </row>
    <row r="51" spans="1:3" s="23" customFormat="1" ht="18.75" customHeight="1">
      <c r="A51" s="32"/>
      <c r="B51" s="21"/>
      <c r="C51" s="33">
        <f>SUM(C48:C50)</f>
        <v>25027345</v>
      </c>
    </row>
    <row r="52" spans="1:3" s="23" customFormat="1" ht="20.25" customHeight="1">
      <c r="A52" s="32"/>
      <c r="B52" s="21"/>
      <c r="C52" s="22"/>
    </row>
    <row r="53" spans="1:3" s="23" customFormat="1" ht="20.25" customHeight="1">
      <c r="A53" s="20" t="s">
        <v>453</v>
      </c>
      <c r="B53" s="21"/>
      <c r="C53" s="22"/>
    </row>
    <row r="54" spans="1:3" s="23" customFormat="1" ht="18" customHeight="1">
      <c r="A54" s="35" t="s">
        <v>334</v>
      </c>
      <c r="B54" s="42" t="s">
        <v>1</v>
      </c>
      <c r="C54" s="28">
        <f>+'Anexo No.1'!C80</f>
        <v>611682612</v>
      </c>
    </row>
    <row r="55" spans="1:3" s="23" customFormat="1" ht="15.75" customHeight="1">
      <c r="A55" s="35" t="s">
        <v>335</v>
      </c>
      <c r="B55" s="42" t="s">
        <v>1</v>
      </c>
      <c r="C55" s="28">
        <f>+'Anexo No.1'!C44</f>
        <v>492394240</v>
      </c>
    </row>
    <row r="56" spans="1:3" s="23" customFormat="1" ht="15.75" customHeight="1">
      <c r="A56" s="35" t="s">
        <v>45</v>
      </c>
      <c r="B56" s="42" t="s">
        <v>1</v>
      </c>
      <c r="C56" s="28">
        <f>+'Anexo No.1'!C6</f>
        <v>174263828</v>
      </c>
    </row>
    <row r="57" spans="1:3" s="23" customFormat="1" ht="15.75" customHeight="1">
      <c r="A57" s="38" t="s">
        <v>46</v>
      </c>
      <c r="B57" s="43"/>
      <c r="C57" s="28">
        <f>+'Anexo No.1'!C15</f>
        <v>101583629</v>
      </c>
    </row>
    <row r="58" spans="1:3" s="23" customFormat="1" ht="15.75" customHeight="1">
      <c r="A58" s="38" t="s">
        <v>47</v>
      </c>
      <c r="B58" s="43"/>
      <c r="C58" s="45">
        <f>+'Anexo No.1'!C20</f>
        <v>1007171579</v>
      </c>
    </row>
    <row r="59" spans="1:3" s="23" customFormat="1" ht="15.75" customHeight="1">
      <c r="A59" s="38" t="s">
        <v>48</v>
      </c>
      <c r="B59" s="43"/>
      <c r="C59" s="45">
        <f>+'Anexo No.1'!C25</f>
        <v>19833772</v>
      </c>
    </row>
    <row r="60" spans="1:3" s="23" customFormat="1" ht="15.75" customHeight="1">
      <c r="A60" s="38" t="s">
        <v>49</v>
      </c>
      <c r="B60" s="43" t="s">
        <v>1</v>
      </c>
      <c r="C60" s="45">
        <f>+'Anexo No.1'!C35</f>
        <v>32430382</v>
      </c>
    </row>
    <row r="61" spans="1:3" s="23" customFormat="1" ht="15.75" customHeight="1">
      <c r="A61" s="46" t="s">
        <v>336</v>
      </c>
      <c r="B61" s="147"/>
      <c r="C61" s="45">
        <v>365099341</v>
      </c>
    </row>
    <row r="62" spans="1:3" s="23" customFormat="1" ht="15.75" customHeight="1">
      <c r="A62" s="46" t="s">
        <v>337</v>
      </c>
      <c r="B62" s="147"/>
      <c r="C62" s="45">
        <v>17428888</v>
      </c>
    </row>
    <row r="63" spans="1:3" s="23" customFormat="1" ht="15.75" customHeight="1">
      <c r="A63" s="46" t="s">
        <v>338</v>
      </c>
      <c r="B63" s="147"/>
      <c r="C63" s="45">
        <v>13070616</v>
      </c>
    </row>
    <row r="64" spans="1:3" s="23" customFormat="1" ht="15.75" customHeight="1">
      <c r="A64" s="46" t="s">
        <v>50</v>
      </c>
      <c r="B64" s="47"/>
      <c r="C64" s="45">
        <v>1</v>
      </c>
    </row>
    <row r="65" spans="1:3" s="23" customFormat="1" ht="15.75" customHeight="1">
      <c r="A65" s="286" t="s">
        <v>51</v>
      </c>
      <c r="B65" s="286"/>
      <c r="C65" s="28">
        <v>1</v>
      </c>
    </row>
    <row r="66" spans="1:3" s="23" customFormat="1" ht="15.75" customHeight="1">
      <c r="A66" s="287" t="s">
        <v>52</v>
      </c>
      <c r="B66" s="287"/>
      <c r="C66" s="28">
        <v>3731000</v>
      </c>
    </row>
    <row r="67" spans="1:3" s="23" customFormat="1" ht="15.75" customHeight="1">
      <c r="A67" s="287" t="s">
        <v>53</v>
      </c>
      <c r="B67" s="287"/>
      <c r="C67" s="28">
        <v>1</v>
      </c>
    </row>
    <row r="68" spans="1:3" s="23" customFormat="1" ht="15.75" customHeight="1">
      <c r="A68" s="32"/>
      <c r="B68" s="21"/>
      <c r="C68" s="33">
        <f>SUM(C54:C67)</f>
        <v>2838689890</v>
      </c>
    </row>
    <row r="69" spans="1:3" s="23" customFormat="1" ht="15.75" customHeight="1">
      <c r="A69" s="32"/>
      <c r="B69" s="21"/>
      <c r="C69" s="22"/>
    </row>
    <row r="70" spans="1:3" s="23" customFormat="1" ht="15.75" customHeight="1">
      <c r="A70" s="285" t="s">
        <v>54</v>
      </c>
      <c r="B70" s="285"/>
      <c r="C70" s="22"/>
    </row>
    <row r="71" spans="1:3" s="23" customFormat="1" ht="15.75" customHeight="1">
      <c r="A71" s="35" t="s">
        <v>55</v>
      </c>
      <c r="B71" s="36"/>
      <c r="C71" s="28">
        <v>15910000</v>
      </c>
    </row>
    <row r="72" spans="1:3" s="23" customFormat="1" ht="15.75" customHeight="1">
      <c r="A72" s="288" t="s">
        <v>56</v>
      </c>
      <c r="B72" s="289"/>
      <c r="C72" s="28">
        <v>1</v>
      </c>
    </row>
    <row r="73" spans="1:3" s="23" customFormat="1" ht="15.75" customHeight="1">
      <c r="A73" s="283" t="s">
        <v>57</v>
      </c>
      <c r="B73" s="284"/>
      <c r="C73" s="28">
        <v>1</v>
      </c>
    </row>
    <row r="74" spans="1:3" s="23" customFormat="1" ht="14.25" customHeight="1">
      <c r="A74" s="32"/>
      <c r="B74" s="21"/>
      <c r="C74" s="33">
        <f>SUM(C71:C73)</f>
        <v>15910002</v>
      </c>
    </row>
    <row r="75" spans="1:3" s="23" customFormat="1" ht="14.25" customHeight="1">
      <c r="A75" s="20" t="s">
        <v>58</v>
      </c>
      <c r="B75" s="21"/>
      <c r="C75" s="22"/>
    </row>
    <row r="76" spans="1:3" s="23" customFormat="1" ht="14.25" customHeight="1">
      <c r="A76" s="35" t="s">
        <v>59</v>
      </c>
      <c r="B76" s="36"/>
      <c r="C76" s="28">
        <v>345000</v>
      </c>
    </row>
    <row r="77" spans="1:3" s="23" customFormat="1" ht="14.25" customHeight="1">
      <c r="A77" s="35" t="s">
        <v>60</v>
      </c>
      <c r="B77" s="36"/>
      <c r="C77" s="28">
        <v>1</v>
      </c>
    </row>
    <row r="78" spans="1:3" s="23" customFormat="1" ht="14.25" customHeight="1">
      <c r="A78" s="35" t="s">
        <v>61</v>
      </c>
      <c r="B78" s="36"/>
      <c r="C78" s="28">
        <v>3000000</v>
      </c>
    </row>
    <row r="79" spans="1:3" s="23" customFormat="1" ht="14.25" customHeight="1">
      <c r="A79" s="35" t="s">
        <v>62</v>
      </c>
      <c r="B79" s="36"/>
      <c r="C79" s="28">
        <v>4000000</v>
      </c>
    </row>
    <row r="80" spans="1:3" s="23" customFormat="1" ht="15.75">
      <c r="A80" s="32"/>
      <c r="B80" s="21"/>
      <c r="C80" s="33">
        <f>SUM(C76:C79)</f>
        <v>7345001</v>
      </c>
    </row>
    <row r="81" spans="1:3" s="23" customFormat="1" ht="15">
      <c r="A81" s="20" t="s">
        <v>63</v>
      </c>
      <c r="B81" s="21"/>
      <c r="C81" s="22"/>
    </row>
    <row r="82" spans="1:3" s="23" customFormat="1" ht="15">
      <c r="A82" s="20" t="s">
        <v>64</v>
      </c>
      <c r="B82" s="21"/>
      <c r="C82" s="22"/>
    </row>
    <row r="83" spans="1:3" s="23" customFormat="1" ht="15">
      <c r="A83" s="35" t="s">
        <v>65</v>
      </c>
      <c r="B83" s="36"/>
      <c r="C83" s="28">
        <v>7800000</v>
      </c>
    </row>
    <row r="84" spans="1:3" s="23" customFormat="1" ht="15.75">
      <c r="A84" s="32"/>
      <c r="B84" s="48"/>
      <c r="C84" s="33">
        <f>SUM(C83)</f>
        <v>7800000</v>
      </c>
    </row>
    <row r="85" spans="1:3" s="23" customFormat="1" ht="15">
      <c r="A85" s="32"/>
      <c r="B85" s="48"/>
      <c r="C85" s="22"/>
    </row>
    <row r="86" spans="1:3" s="23" customFormat="1" ht="15">
      <c r="A86" s="20" t="s">
        <v>66</v>
      </c>
      <c r="B86" s="21"/>
      <c r="C86" s="22"/>
    </row>
    <row r="87" spans="1:3" s="23" customFormat="1" ht="15">
      <c r="A87" s="35" t="s">
        <v>67</v>
      </c>
      <c r="B87" s="36"/>
      <c r="C87" s="28">
        <v>1</v>
      </c>
    </row>
    <row r="88" spans="1:3" s="23" customFormat="1" ht="15">
      <c r="A88" s="35" t="s">
        <v>68</v>
      </c>
      <c r="B88" s="36"/>
      <c r="C88" s="28">
        <f>1+0</f>
        <v>1</v>
      </c>
    </row>
    <row r="89" spans="1:3" s="23" customFormat="1" ht="15.75">
      <c r="A89" s="32"/>
      <c r="B89" s="48"/>
      <c r="C89" s="33">
        <f>SUM(C87:C88)</f>
        <v>2</v>
      </c>
    </row>
    <row r="90" spans="1:3" s="23" customFormat="1" ht="15.75">
      <c r="A90" s="49" t="s">
        <v>69</v>
      </c>
      <c r="B90" s="48"/>
      <c r="C90" s="22"/>
    </row>
    <row r="91" spans="1:3" s="23" customFormat="1" ht="15">
      <c r="A91" s="20" t="s">
        <v>70</v>
      </c>
      <c r="B91" s="48"/>
      <c r="C91" s="22"/>
    </row>
    <row r="92" spans="1:3" s="23" customFormat="1" ht="15">
      <c r="A92" s="285" t="s">
        <v>71</v>
      </c>
      <c r="B92" s="285"/>
      <c r="C92" s="22"/>
    </row>
    <row r="93" spans="1:3" s="23" customFormat="1" ht="15">
      <c r="A93" s="35" t="s">
        <v>72</v>
      </c>
      <c r="B93" s="36"/>
      <c r="C93" s="28">
        <v>23565000</v>
      </c>
    </row>
    <row r="94" spans="1:3" s="23" customFormat="1" ht="15.75">
      <c r="A94" s="32"/>
      <c r="B94" s="48"/>
      <c r="C94" s="33">
        <f>SUM(C93)</f>
        <v>23565000</v>
      </c>
    </row>
    <row r="95" spans="1:3" s="23" customFormat="1" ht="15.75">
      <c r="A95" s="49" t="s">
        <v>73</v>
      </c>
      <c r="B95" s="48"/>
      <c r="C95" s="25"/>
    </row>
    <row r="96" spans="1:3" s="23" customFormat="1" ht="15">
      <c r="A96" s="38" t="s">
        <v>74</v>
      </c>
      <c r="B96" s="39"/>
      <c r="C96" s="50">
        <v>1</v>
      </c>
    </row>
    <row r="97" spans="1:3" s="23" customFormat="1" ht="15">
      <c r="A97" s="38" t="s">
        <v>75</v>
      </c>
      <c r="B97" s="39"/>
      <c r="C97" s="50">
        <v>12110000</v>
      </c>
    </row>
    <row r="98" spans="1:3" s="23" customFormat="1" ht="15.75">
      <c r="A98" s="32"/>
      <c r="B98" s="48"/>
      <c r="C98" s="51">
        <f>SUM(C96:C97)</f>
        <v>12110001</v>
      </c>
    </row>
    <row r="99" spans="1:3" s="23" customFormat="1" ht="15.75">
      <c r="A99" s="32"/>
      <c r="B99" s="48"/>
      <c r="C99" s="33"/>
    </row>
    <row r="100" spans="1:3" s="23" customFormat="1" ht="15.75">
      <c r="A100" s="49" t="s">
        <v>76</v>
      </c>
      <c r="B100" s="48"/>
      <c r="C100" s="25"/>
    </row>
    <row r="101" spans="1:3" s="23" customFormat="1" ht="15">
      <c r="A101" s="38" t="s">
        <v>77</v>
      </c>
      <c r="B101" s="39"/>
      <c r="C101" s="50">
        <v>22000000</v>
      </c>
    </row>
    <row r="102" spans="1:3" s="23" customFormat="1" ht="15.75">
      <c r="A102" s="32"/>
      <c r="B102" s="48"/>
      <c r="C102" s="51">
        <f>SUM(C101)</f>
        <v>22000000</v>
      </c>
    </row>
    <row r="103" spans="1:3" s="23" customFormat="1" ht="15.75">
      <c r="A103" s="52"/>
      <c r="B103" s="52"/>
      <c r="C103" s="22"/>
    </row>
    <row r="104" spans="1:3" s="23" customFormat="1" ht="31.5" customHeight="1">
      <c r="A104" s="20" t="s">
        <v>78</v>
      </c>
      <c r="B104" s="48"/>
      <c r="C104" s="22"/>
    </row>
    <row r="105" spans="1:3" s="23" customFormat="1" ht="15">
      <c r="A105" s="285" t="s">
        <v>79</v>
      </c>
      <c r="B105" s="285"/>
      <c r="C105" s="22"/>
    </row>
    <row r="106" spans="1:3" s="23" customFormat="1" ht="15">
      <c r="A106" s="35" t="s">
        <v>80</v>
      </c>
      <c r="B106" s="36"/>
      <c r="C106" s="28">
        <v>27373244</v>
      </c>
    </row>
    <row r="107" spans="1:3" s="23" customFormat="1" ht="15">
      <c r="A107" s="35" t="s">
        <v>81</v>
      </c>
      <c r="B107" s="36"/>
      <c r="C107" s="28">
        <v>5000000</v>
      </c>
    </row>
    <row r="108" spans="1:3" s="23" customFormat="1" ht="15">
      <c r="A108" s="35" t="s">
        <v>82</v>
      </c>
      <c r="B108" s="36"/>
      <c r="C108" s="28">
        <v>19542580</v>
      </c>
    </row>
    <row r="109" spans="1:3" s="23" customFormat="1" ht="15">
      <c r="A109" s="35" t="s">
        <v>83</v>
      </c>
      <c r="B109" s="36"/>
      <c r="C109" s="28">
        <v>500000</v>
      </c>
    </row>
    <row r="110" spans="1:3" s="23" customFormat="1" ht="15">
      <c r="A110" s="35" t="s">
        <v>84</v>
      </c>
      <c r="B110" s="36"/>
      <c r="C110" s="28">
        <v>26569288</v>
      </c>
    </row>
    <row r="111" spans="1:3" s="23" customFormat="1" ht="15">
      <c r="A111" s="35" t="s">
        <v>85</v>
      </c>
      <c r="B111" s="36"/>
      <c r="C111" s="28">
        <v>5000000</v>
      </c>
    </row>
    <row r="112" spans="1:3" s="23" customFormat="1" ht="15">
      <c r="A112" s="35" t="s">
        <v>86</v>
      </c>
      <c r="B112" s="36"/>
      <c r="C112" s="28">
        <v>500000</v>
      </c>
    </row>
    <row r="113" spans="1:3" s="23" customFormat="1" ht="15.75">
      <c r="A113" s="52"/>
      <c r="B113" s="52"/>
      <c r="C113" s="33">
        <f>SUM(C106:C112)</f>
        <v>84485112</v>
      </c>
    </row>
    <row r="114" spans="1:3" s="23" customFormat="1" ht="17.25" customHeight="1">
      <c r="A114" s="290" t="s">
        <v>269</v>
      </c>
      <c r="B114" s="290"/>
      <c r="C114" s="33">
        <f>+C8+C23+C39+C45+C51+C68+C74+C80+C84+C89+C94+C98+C102+C113</f>
        <v>3727340586</v>
      </c>
    </row>
    <row r="115" spans="1:3" s="23" customFormat="1" ht="17.25" customHeight="1">
      <c r="A115" s="53"/>
      <c r="B115" s="53"/>
      <c r="C115" s="33"/>
    </row>
    <row r="116" spans="1:3" s="23" customFormat="1" ht="17.25" customHeight="1">
      <c r="A116" s="53"/>
      <c r="B116" s="53"/>
      <c r="C116" s="33"/>
    </row>
    <row r="117" spans="1:3" s="23" customFormat="1" ht="19.5" customHeight="1">
      <c r="A117" s="54" t="s">
        <v>87</v>
      </c>
      <c r="B117" s="55"/>
      <c r="C117" s="22"/>
    </row>
    <row r="118" spans="1:3" s="23" customFormat="1" ht="19.5" customHeight="1">
      <c r="A118" s="128" t="s">
        <v>88</v>
      </c>
      <c r="B118" s="56"/>
      <c r="C118" s="22" t="s">
        <v>1</v>
      </c>
    </row>
    <row r="119" spans="1:3" s="23" customFormat="1" ht="19.5" customHeight="1">
      <c r="A119" s="49" t="s">
        <v>89</v>
      </c>
      <c r="B119" s="21"/>
      <c r="C119" s="22"/>
    </row>
    <row r="120" spans="1:3" s="23" customFormat="1" ht="18.75" customHeight="1">
      <c r="A120" s="35" t="s">
        <v>90</v>
      </c>
      <c r="B120" s="36"/>
      <c r="C120" s="28">
        <f>7183032+850000</f>
        <v>8033032</v>
      </c>
    </row>
    <row r="121" spans="1:3" s="23" customFormat="1" ht="18.75" customHeight="1">
      <c r="A121" s="35" t="s">
        <v>91</v>
      </c>
      <c r="B121" s="36"/>
      <c r="C121" s="28">
        <f>623527+50000</f>
        <v>673527</v>
      </c>
    </row>
    <row r="122" spans="1:3" s="23" customFormat="1" ht="18.75" customHeight="1">
      <c r="A122" s="35" t="s">
        <v>92</v>
      </c>
      <c r="B122" s="36"/>
      <c r="C122" s="28">
        <f>300000+35000</f>
        <v>335000</v>
      </c>
    </row>
    <row r="123" spans="1:3" s="23" customFormat="1" ht="16.5" customHeight="1">
      <c r="A123" s="35" t="s">
        <v>93</v>
      </c>
      <c r="B123" s="36"/>
      <c r="C123" s="28">
        <f>400000+50000</f>
        <v>450000</v>
      </c>
    </row>
    <row r="124" spans="1:3" s="23" customFormat="1" ht="16.5" customHeight="1">
      <c r="A124" s="35" t="s">
        <v>94</v>
      </c>
      <c r="B124" s="36"/>
      <c r="C124" s="28">
        <f>58832278-1917000-264881</f>
        <v>56650397</v>
      </c>
    </row>
    <row r="125" spans="1:3" s="23" customFormat="1" ht="16.5" customHeight="1">
      <c r="A125" s="35" t="s">
        <v>95</v>
      </c>
      <c r="B125" s="36"/>
      <c r="C125" s="28">
        <v>5412000</v>
      </c>
    </row>
    <row r="126" spans="1:3" s="23" customFormat="1" ht="16.5" customHeight="1">
      <c r="A126" s="38" t="s">
        <v>96</v>
      </c>
      <c r="B126" s="39"/>
      <c r="C126" s="28">
        <f>600000+32000</f>
        <v>632000</v>
      </c>
    </row>
    <row r="127" spans="1:3" s="23" customFormat="1" ht="16.5" customHeight="1">
      <c r="A127" s="49" t="s">
        <v>97</v>
      </c>
      <c r="B127" s="21"/>
      <c r="C127" s="57">
        <f>SUM(C120:C126)</f>
        <v>72185956</v>
      </c>
    </row>
    <row r="128" spans="1:3" s="23" customFormat="1" ht="16.5" customHeight="1">
      <c r="A128" s="49"/>
      <c r="B128" s="21"/>
      <c r="C128" s="58" t="s">
        <v>1</v>
      </c>
    </row>
    <row r="129" spans="1:3" s="23" customFormat="1" ht="16.5" customHeight="1">
      <c r="A129" s="49" t="s">
        <v>98</v>
      </c>
      <c r="B129" s="21"/>
      <c r="C129" s="22"/>
    </row>
    <row r="130" spans="1:3" s="23" customFormat="1" ht="16.5" customHeight="1">
      <c r="A130" s="283" t="s">
        <v>99</v>
      </c>
      <c r="B130" s="284"/>
      <c r="C130" s="28">
        <v>500000</v>
      </c>
    </row>
    <row r="131" spans="1:3" s="23" customFormat="1" ht="16.5" customHeight="1">
      <c r="A131" s="35" t="s">
        <v>100</v>
      </c>
      <c r="B131" s="36"/>
      <c r="C131" s="28">
        <v>1000000</v>
      </c>
    </row>
    <row r="132" spans="1:3" s="23" customFormat="1" ht="16.5" customHeight="1">
      <c r="A132" s="35" t="s">
        <v>101</v>
      </c>
      <c r="B132" s="36"/>
      <c r="C132" s="28">
        <v>2240976</v>
      </c>
    </row>
    <row r="133" spans="1:3" s="23" customFormat="1" ht="16.5" customHeight="1">
      <c r="A133" s="35" t="s">
        <v>102</v>
      </c>
      <c r="B133" s="36"/>
      <c r="C133" s="28">
        <v>500000</v>
      </c>
    </row>
    <row r="134" spans="1:3" s="23" customFormat="1" ht="15.75" customHeight="1">
      <c r="A134" s="35" t="s">
        <v>103</v>
      </c>
      <c r="B134" s="36"/>
      <c r="C134" s="28">
        <v>253145</v>
      </c>
    </row>
    <row r="135" spans="1:3" s="23" customFormat="1" ht="18.75" customHeight="1">
      <c r="A135" s="283" t="s">
        <v>104</v>
      </c>
      <c r="B135" s="284"/>
      <c r="C135" s="28">
        <v>1371820</v>
      </c>
    </row>
    <row r="136" spans="1:3" s="23" customFormat="1" ht="17.25" customHeight="1">
      <c r="A136" s="59" t="s">
        <v>105</v>
      </c>
      <c r="B136" s="60"/>
      <c r="C136" s="28">
        <v>0</v>
      </c>
    </row>
    <row r="137" spans="1:3" s="23" customFormat="1" ht="18.75" customHeight="1">
      <c r="A137" s="38" t="s">
        <v>106</v>
      </c>
      <c r="B137" s="39"/>
      <c r="C137" s="28">
        <v>1149000</v>
      </c>
    </row>
    <row r="138" spans="1:3" s="23" customFormat="1" ht="18.75" customHeight="1">
      <c r="A138" s="38" t="s">
        <v>107</v>
      </c>
      <c r="B138" s="39"/>
      <c r="C138" s="28">
        <v>369023</v>
      </c>
    </row>
    <row r="139" spans="1:3" s="23" customFormat="1" ht="15.75" customHeight="1">
      <c r="A139" s="38" t="s">
        <v>108</v>
      </c>
      <c r="B139" s="39"/>
      <c r="C139" s="28">
        <v>500000</v>
      </c>
    </row>
    <row r="140" spans="1:3" s="23" customFormat="1" ht="20.25" customHeight="1">
      <c r="A140" s="49" t="s">
        <v>97</v>
      </c>
      <c r="B140" s="21"/>
      <c r="C140" s="57">
        <f>SUM(C130:C139)</f>
        <v>7883964</v>
      </c>
    </row>
    <row r="141" spans="1:3" s="23" customFormat="1" ht="15" customHeight="1">
      <c r="A141" s="49"/>
      <c r="B141" s="61"/>
      <c r="C141" s="62"/>
    </row>
    <row r="142" spans="1:3" s="23" customFormat="1" ht="18" customHeight="1">
      <c r="A142" s="49" t="s">
        <v>110</v>
      </c>
      <c r="B142" s="21"/>
      <c r="C142" s="22"/>
    </row>
    <row r="143" spans="1:3" s="23" customFormat="1" ht="18" customHeight="1">
      <c r="A143" s="283" t="s">
        <v>111</v>
      </c>
      <c r="B143" s="284"/>
      <c r="C143" s="28">
        <f>789204+900000</f>
        <v>1689204</v>
      </c>
    </row>
    <row r="144" spans="1:3" s="23" customFormat="1" ht="18" customHeight="1">
      <c r="A144" s="283" t="s">
        <v>112</v>
      </c>
      <c r="B144" s="284"/>
      <c r="C144" s="28">
        <f>500000+264881</f>
        <v>764881</v>
      </c>
    </row>
    <row r="145" spans="1:3" s="23" customFormat="1" ht="18" customHeight="1">
      <c r="A145" s="49" t="s">
        <v>97</v>
      </c>
      <c r="B145" s="21"/>
      <c r="C145" s="33">
        <f>SUM(C143:C144)</f>
        <v>2454085</v>
      </c>
    </row>
    <row r="146" spans="1:3" s="23" customFormat="1" ht="18" customHeight="1">
      <c r="A146" s="49" t="s">
        <v>113</v>
      </c>
      <c r="B146" s="61"/>
      <c r="C146" s="62">
        <f>C140+C127+C145</f>
        <v>82524005</v>
      </c>
    </row>
    <row r="147" spans="2:3" s="23" customFormat="1" ht="18" customHeight="1">
      <c r="B147" s="21"/>
      <c r="C147" s="57"/>
    </row>
    <row r="148" spans="1:3" s="23" customFormat="1" ht="18" customHeight="1">
      <c r="A148" s="20" t="s">
        <v>114</v>
      </c>
      <c r="B148" s="21"/>
      <c r="C148" s="22"/>
    </row>
    <row r="149" spans="1:3" s="23" customFormat="1" ht="15" customHeight="1">
      <c r="A149" s="63" t="s">
        <v>89</v>
      </c>
      <c r="B149" s="21"/>
      <c r="C149" s="22"/>
    </row>
    <row r="150" spans="1:3" s="23" customFormat="1" ht="18" customHeight="1">
      <c r="A150" s="35" t="s">
        <v>115</v>
      </c>
      <c r="B150" s="36"/>
      <c r="C150" s="28">
        <v>38921664</v>
      </c>
    </row>
    <row r="151" spans="1:3" s="23" customFormat="1" ht="17.25" customHeight="1">
      <c r="A151" s="35" t="s">
        <v>91</v>
      </c>
      <c r="B151" s="36"/>
      <c r="C151" s="28">
        <v>3396636</v>
      </c>
    </row>
    <row r="152" spans="1:3" s="23" customFormat="1" ht="17.25" customHeight="1">
      <c r="A152" s="35" t="s">
        <v>116</v>
      </c>
      <c r="B152" s="36"/>
      <c r="C152" s="28">
        <v>1837968</v>
      </c>
    </row>
    <row r="153" spans="1:3" s="23" customFormat="1" ht="17.25" customHeight="1">
      <c r="A153" s="35" t="s">
        <v>93</v>
      </c>
      <c r="B153" s="36"/>
      <c r="C153" s="28">
        <v>2010950</v>
      </c>
    </row>
    <row r="154" spans="1:3" s="23" customFormat="1" ht="17.25" customHeight="1">
      <c r="A154" s="64" t="s">
        <v>117</v>
      </c>
      <c r="B154" s="65"/>
      <c r="C154" s="28">
        <v>200001</v>
      </c>
    </row>
    <row r="155" spans="1:3" s="23" customFormat="1" ht="17.25" customHeight="1">
      <c r="A155" s="38" t="s">
        <v>169</v>
      </c>
      <c r="B155" s="39"/>
      <c r="C155" s="45">
        <v>3019999</v>
      </c>
    </row>
    <row r="156" spans="1:3" s="23" customFormat="1" ht="17.25" customHeight="1">
      <c r="A156" s="49" t="s">
        <v>97</v>
      </c>
      <c r="B156" s="21"/>
      <c r="C156" s="33">
        <f>SUM(C150:C155)</f>
        <v>49387218</v>
      </c>
    </row>
    <row r="157" spans="1:3" s="23" customFormat="1" ht="17.25" customHeight="1">
      <c r="A157" s="49"/>
      <c r="B157" s="21"/>
      <c r="C157" s="22"/>
    </row>
    <row r="158" spans="1:3" s="23" customFormat="1" ht="17.25" customHeight="1">
      <c r="A158" s="49" t="s">
        <v>118</v>
      </c>
      <c r="B158" s="21"/>
      <c r="C158" s="22"/>
    </row>
    <row r="159" spans="1:3" s="23" customFormat="1" ht="17.25" customHeight="1">
      <c r="A159" s="35" t="s">
        <v>119</v>
      </c>
      <c r="B159" s="36"/>
      <c r="C159" s="28">
        <v>36402</v>
      </c>
    </row>
    <row r="160" spans="1:3" s="23" customFormat="1" ht="17.25" customHeight="1">
      <c r="A160" s="35" t="s">
        <v>120</v>
      </c>
      <c r="B160" s="36"/>
      <c r="C160" s="28">
        <v>1500000</v>
      </c>
    </row>
    <row r="161" spans="1:3" s="23" customFormat="1" ht="17.25" customHeight="1">
      <c r="A161" s="35" t="s">
        <v>121</v>
      </c>
      <c r="B161" s="36"/>
      <c r="C161" s="28">
        <v>10000</v>
      </c>
    </row>
    <row r="162" spans="1:3" s="23" customFormat="1" ht="19.5" customHeight="1">
      <c r="A162" s="35" t="s">
        <v>122</v>
      </c>
      <c r="B162" s="36"/>
      <c r="C162" s="28">
        <v>20000</v>
      </c>
    </row>
    <row r="163" spans="1:3" s="23" customFormat="1" ht="15">
      <c r="A163" s="288" t="s">
        <v>123</v>
      </c>
      <c r="B163" s="289"/>
      <c r="C163" s="28">
        <v>3257088</v>
      </c>
    </row>
    <row r="164" spans="1:3" s="23" customFormat="1" ht="18" customHeight="1">
      <c r="A164" s="288" t="s">
        <v>124</v>
      </c>
      <c r="B164" s="289"/>
      <c r="C164" s="28">
        <v>100000</v>
      </c>
    </row>
    <row r="165" spans="1:3" s="23" customFormat="1" ht="18" customHeight="1">
      <c r="A165" s="283" t="s">
        <v>125</v>
      </c>
      <c r="B165" s="284"/>
      <c r="C165" s="28">
        <v>100000</v>
      </c>
    </row>
    <row r="166" spans="1:3" s="23" customFormat="1" ht="21" customHeight="1">
      <c r="A166" s="283" t="s">
        <v>126</v>
      </c>
      <c r="B166" s="284"/>
      <c r="C166" s="28">
        <v>10000</v>
      </c>
    </row>
    <row r="167" spans="1:3" s="23" customFormat="1" ht="17.25" customHeight="1">
      <c r="A167" s="35" t="s">
        <v>127</v>
      </c>
      <c r="B167" s="36"/>
      <c r="C167" s="28">
        <v>2000000</v>
      </c>
    </row>
    <row r="168" spans="1:3" s="23" customFormat="1" ht="15" customHeight="1">
      <c r="A168" s="35" t="s">
        <v>128</v>
      </c>
      <c r="B168" s="36"/>
      <c r="C168" s="28">
        <v>1322401</v>
      </c>
    </row>
    <row r="169" spans="1:3" s="23" customFormat="1" ht="17.25" customHeight="1">
      <c r="A169" s="49" t="s">
        <v>97</v>
      </c>
      <c r="B169" s="21"/>
      <c r="C169" s="57">
        <f>SUM(C159:C168)</f>
        <v>8355891</v>
      </c>
    </row>
    <row r="170" spans="1:3" s="23" customFormat="1" ht="15" customHeight="1">
      <c r="A170" s="49"/>
      <c r="B170" s="21"/>
      <c r="C170" s="58"/>
    </row>
    <row r="171" spans="1:3" s="23" customFormat="1" ht="17.25" customHeight="1">
      <c r="A171" s="49" t="s">
        <v>110</v>
      </c>
      <c r="B171" s="21"/>
      <c r="C171" s="22"/>
    </row>
    <row r="172" spans="1:3" s="23" customFormat="1" ht="15" customHeight="1">
      <c r="A172" s="283" t="s">
        <v>111</v>
      </c>
      <c r="B172" s="284"/>
      <c r="C172" s="28">
        <v>7978941</v>
      </c>
    </row>
    <row r="173" spans="1:3" s="23" customFormat="1" ht="19.5" customHeight="1">
      <c r="A173" s="283" t="s">
        <v>112</v>
      </c>
      <c r="B173" s="284"/>
      <c r="C173" s="28">
        <v>3502950</v>
      </c>
    </row>
    <row r="174" spans="1:3" s="23" customFormat="1" ht="18.75" customHeight="1">
      <c r="A174" s="66" t="s">
        <v>97</v>
      </c>
      <c r="B174" s="67"/>
      <c r="C174" s="68">
        <f>SUM(C172:C173)</f>
        <v>11481891</v>
      </c>
    </row>
    <row r="175" spans="1:3" s="23" customFormat="1" ht="17.25" customHeight="1">
      <c r="A175" s="49" t="s">
        <v>129</v>
      </c>
      <c r="B175" s="21"/>
      <c r="C175" s="57">
        <f>+C174+C169+C156</f>
        <v>69225000</v>
      </c>
    </row>
    <row r="176" spans="1:3" s="23" customFormat="1" ht="12.75" customHeight="1">
      <c r="A176" s="49"/>
      <c r="B176" s="21"/>
      <c r="C176" s="58"/>
    </row>
    <row r="177" spans="1:3" s="23" customFormat="1" ht="18.75" customHeight="1">
      <c r="A177" s="291" t="s">
        <v>130</v>
      </c>
      <c r="B177" s="291"/>
      <c r="C177" s="22" t="s">
        <v>1</v>
      </c>
    </row>
    <row r="178" spans="1:3" s="23" customFormat="1" ht="16.5" customHeight="1">
      <c r="A178" s="52" t="s">
        <v>131</v>
      </c>
      <c r="B178" s="21"/>
      <c r="C178" s="22"/>
    </row>
    <row r="179" spans="1:3" s="23" customFormat="1" ht="16.5" customHeight="1">
      <c r="A179" s="35" t="s">
        <v>115</v>
      </c>
      <c r="B179" s="36"/>
      <c r="C179" s="28">
        <f>40028568+2201565</f>
        <v>42230133</v>
      </c>
    </row>
    <row r="180" spans="1:3" s="23" customFormat="1" ht="16.5" customHeight="1">
      <c r="A180" s="35" t="s">
        <v>132</v>
      </c>
      <c r="B180" s="36"/>
      <c r="C180" s="28">
        <f>3474703+191109+7384+59642</f>
        <v>3732838</v>
      </c>
    </row>
    <row r="181" spans="1:3" s="23" customFormat="1" ht="16.5" customHeight="1">
      <c r="A181" s="35" t="s">
        <v>92</v>
      </c>
      <c r="B181" s="36"/>
      <c r="C181" s="28">
        <f>1667859+91730+1515225+64028+469054</f>
        <v>3807896</v>
      </c>
    </row>
    <row r="182" spans="1:3" s="23" customFormat="1" ht="17.25" customHeight="1">
      <c r="A182" s="49" t="s">
        <v>97</v>
      </c>
      <c r="B182" s="21"/>
      <c r="C182" s="57">
        <f>SUM(C179:C181)</f>
        <v>49770867</v>
      </c>
    </row>
    <row r="183" spans="1:3" s="23" customFormat="1" ht="3.75" customHeight="1">
      <c r="A183" s="49"/>
      <c r="B183" s="21"/>
      <c r="C183" s="22"/>
    </row>
    <row r="184" spans="1:3" s="23" customFormat="1" ht="15.75">
      <c r="A184" s="49" t="s">
        <v>133</v>
      </c>
      <c r="B184" s="21"/>
      <c r="C184" s="22"/>
    </row>
    <row r="185" spans="1:3" s="23" customFormat="1" ht="20.25" customHeight="1">
      <c r="A185" s="283" t="s">
        <v>134</v>
      </c>
      <c r="B185" s="284"/>
      <c r="C185" s="28">
        <f>56565697+12212364</f>
        <v>68778061</v>
      </c>
    </row>
    <row r="186" spans="1:3" s="23" customFormat="1" ht="21" customHeight="1">
      <c r="A186" s="283" t="s">
        <v>135</v>
      </c>
      <c r="B186" s="284"/>
      <c r="C186" s="28">
        <f>25265075+1503078</f>
        <v>26768153</v>
      </c>
    </row>
    <row r="187" spans="1:3" s="23" customFormat="1" ht="21" customHeight="1">
      <c r="A187" s="283" t="s">
        <v>136</v>
      </c>
      <c r="B187" s="284"/>
      <c r="C187" s="28">
        <v>1000000</v>
      </c>
    </row>
    <row r="188" spans="1:3" s="23" customFormat="1" ht="21" customHeight="1">
      <c r="A188" s="35" t="s">
        <v>137</v>
      </c>
      <c r="B188" s="36"/>
      <c r="C188" s="28">
        <v>70178000</v>
      </c>
    </row>
    <row r="189" spans="1:3" s="23" customFormat="1" ht="21" customHeight="1">
      <c r="A189" s="49" t="s">
        <v>97</v>
      </c>
      <c r="B189" s="21"/>
      <c r="C189" s="57">
        <f>SUM(C185:C188)</f>
        <v>166724214</v>
      </c>
    </row>
    <row r="190" spans="1:3" s="23" customFormat="1" ht="21" customHeight="1">
      <c r="A190" s="49" t="s">
        <v>138</v>
      </c>
      <c r="B190" s="21"/>
      <c r="C190" s="33">
        <f>+C182+C189</f>
        <v>216495081</v>
      </c>
    </row>
    <row r="191" spans="1:3" s="23" customFormat="1" ht="15">
      <c r="A191" s="32"/>
      <c r="B191" s="21"/>
      <c r="C191" s="22"/>
    </row>
    <row r="192" spans="1:3" s="23" customFormat="1" ht="20.25" customHeight="1">
      <c r="A192" s="291" t="s">
        <v>139</v>
      </c>
      <c r="B192" s="291"/>
      <c r="C192" s="22"/>
    </row>
    <row r="193" spans="1:3" s="23" customFormat="1" ht="20.25" customHeight="1">
      <c r="A193" s="49" t="s">
        <v>89</v>
      </c>
      <c r="B193" s="21"/>
      <c r="C193" s="22"/>
    </row>
    <row r="194" spans="1:3" s="23" customFormat="1" ht="20.25" customHeight="1">
      <c r="A194" s="35" t="s">
        <v>140</v>
      </c>
      <c r="B194" s="36"/>
      <c r="C194" s="28">
        <f>44639760-1046921</f>
        <v>43592839</v>
      </c>
    </row>
    <row r="195" spans="1:3" s="23" customFormat="1" ht="20.25" customHeight="1">
      <c r="A195" s="35" t="s">
        <v>91</v>
      </c>
      <c r="B195" s="36"/>
      <c r="C195" s="28">
        <f>3875000+232479+54818</f>
        <v>4162297</v>
      </c>
    </row>
    <row r="196" spans="1:3" s="23" customFormat="1" ht="20.25" customHeight="1">
      <c r="A196" s="35" t="s">
        <v>141</v>
      </c>
      <c r="B196" s="36"/>
      <c r="C196" s="28">
        <f>1860000+111590+398201+848379</f>
        <v>3218170</v>
      </c>
    </row>
    <row r="197" spans="1:3" s="23" customFormat="1" ht="16.5" customHeight="1">
      <c r="A197" s="49" t="s">
        <v>97</v>
      </c>
      <c r="B197" s="21"/>
      <c r="C197" s="57">
        <f>SUM(C194:C196)</f>
        <v>50973306</v>
      </c>
    </row>
    <row r="198" spans="1:3" s="23" customFormat="1" ht="15.75">
      <c r="A198" s="49"/>
      <c r="B198" s="21"/>
      <c r="C198" s="58"/>
    </row>
    <row r="199" spans="1:3" s="23" customFormat="1" ht="15">
      <c r="A199" s="291" t="s">
        <v>142</v>
      </c>
      <c r="B199" s="291"/>
      <c r="C199" s="22"/>
    </row>
    <row r="200" spans="1:3" s="23" customFormat="1" ht="15.75" customHeight="1">
      <c r="A200" s="49" t="s">
        <v>89</v>
      </c>
      <c r="B200" s="21"/>
      <c r="C200" s="22"/>
    </row>
    <row r="201" spans="1:3" s="23" customFormat="1" ht="20.25" customHeight="1">
      <c r="A201" s="35" t="s">
        <v>140</v>
      </c>
      <c r="B201" s="36"/>
      <c r="C201" s="28">
        <f>52896312+3173778</f>
        <v>56070090</v>
      </c>
    </row>
    <row r="202" spans="1:3" s="23" customFormat="1" ht="21" customHeight="1">
      <c r="A202" s="35" t="s">
        <v>91</v>
      </c>
      <c r="B202" s="36"/>
      <c r="C202" s="28">
        <f>4592000+275197+7384</f>
        <v>4874581</v>
      </c>
    </row>
    <row r="203" spans="1:3" s="23" customFormat="1" ht="21" customHeight="1">
      <c r="A203" s="35" t="s">
        <v>141</v>
      </c>
      <c r="B203" s="36"/>
      <c r="C203" s="28">
        <f>2214460+121795+428871+469054</f>
        <v>3234180</v>
      </c>
    </row>
    <row r="204" spans="1:3" s="23" customFormat="1" ht="18.75" customHeight="1">
      <c r="A204" s="292" t="s">
        <v>143</v>
      </c>
      <c r="B204" s="292"/>
      <c r="C204" s="33">
        <f>SUM(C201:C203)</f>
        <v>64178851</v>
      </c>
    </row>
    <row r="205" spans="1:3" s="23" customFormat="1" ht="13.5" customHeight="1">
      <c r="A205" s="52"/>
      <c r="B205" s="52"/>
      <c r="C205" s="22"/>
    </row>
    <row r="206" spans="1:3" s="23" customFormat="1" ht="15.75" customHeight="1">
      <c r="A206" s="291" t="s">
        <v>144</v>
      </c>
      <c r="B206" s="291"/>
      <c r="C206" s="22"/>
    </row>
    <row r="207" spans="1:3" s="23" customFormat="1" ht="15.75" customHeight="1">
      <c r="A207" s="49" t="s">
        <v>89</v>
      </c>
      <c r="B207" s="21"/>
      <c r="C207" s="22"/>
    </row>
    <row r="208" spans="1:3" s="23" customFormat="1" ht="15.75" customHeight="1">
      <c r="A208" s="35" t="s">
        <v>145</v>
      </c>
      <c r="B208" s="36"/>
      <c r="C208" s="28">
        <f>30468000+1828017</f>
        <v>32296017</v>
      </c>
    </row>
    <row r="209" spans="1:3" s="23" customFormat="1" ht="15.75" customHeight="1">
      <c r="A209" s="35" t="s">
        <v>91</v>
      </c>
      <c r="B209" s="36"/>
      <c r="C209" s="28">
        <f>2645000+158475+7384</f>
        <v>2810859</v>
      </c>
    </row>
    <row r="210" spans="1:3" s="23" customFormat="1" ht="15.75" customHeight="1">
      <c r="A210" s="35" t="s">
        <v>116</v>
      </c>
      <c r="B210" s="36"/>
      <c r="C210" s="28">
        <f>1269500+76167+1169647+379325</f>
        <v>2894639</v>
      </c>
    </row>
    <row r="211" spans="1:3" s="23" customFormat="1" ht="18.75" customHeight="1">
      <c r="A211" s="292" t="s">
        <v>146</v>
      </c>
      <c r="B211" s="292"/>
      <c r="C211" s="33">
        <f>SUM(C208:C210)</f>
        <v>38001515</v>
      </c>
    </row>
    <row r="212" spans="1:3" s="23" customFormat="1" ht="18.75" customHeight="1">
      <c r="A212" s="49"/>
      <c r="B212" s="21"/>
      <c r="C212" s="22"/>
    </row>
    <row r="213" spans="1:3" s="23" customFormat="1" ht="15">
      <c r="A213" s="291" t="s">
        <v>147</v>
      </c>
      <c r="B213" s="291"/>
      <c r="C213" s="22"/>
    </row>
    <row r="214" spans="1:3" s="23" customFormat="1" ht="18.75" customHeight="1">
      <c r="A214" s="49" t="s">
        <v>89</v>
      </c>
      <c r="B214" s="21"/>
      <c r="C214" s="22"/>
    </row>
    <row r="215" spans="1:3" s="23" customFormat="1" ht="18.75" customHeight="1">
      <c r="A215" s="293" t="s">
        <v>148</v>
      </c>
      <c r="B215" s="294"/>
      <c r="C215" s="28">
        <f>12161048+755489</f>
        <v>12916537</v>
      </c>
    </row>
    <row r="216" spans="1:3" s="23" customFormat="1" ht="18.75" customHeight="1">
      <c r="A216" s="69" t="s">
        <v>91</v>
      </c>
      <c r="B216" s="70"/>
      <c r="C216" s="28">
        <f>817380+44957</f>
        <v>862337</v>
      </c>
    </row>
    <row r="217" spans="1:3" s="23" customFormat="1" ht="18.75" customHeight="1">
      <c r="A217" s="69" t="s">
        <v>92</v>
      </c>
      <c r="B217" s="70"/>
      <c r="C217" s="28">
        <f>392343+21571</f>
        <v>413914</v>
      </c>
    </row>
    <row r="218" spans="1:3" s="23" customFormat="1" ht="18.75" customHeight="1">
      <c r="A218" s="292" t="s">
        <v>149</v>
      </c>
      <c r="B218" s="292"/>
      <c r="C218" s="33">
        <f>SUM(C215:C217)</f>
        <v>14192788</v>
      </c>
    </row>
    <row r="219" spans="1:3" s="23" customFormat="1" ht="18.75" customHeight="1">
      <c r="A219" s="52"/>
      <c r="B219" s="52"/>
      <c r="C219" s="22"/>
    </row>
    <row r="220" spans="1:3" s="23" customFormat="1" ht="18.75" customHeight="1">
      <c r="A220" s="20" t="s">
        <v>150</v>
      </c>
      <c r="B220" s="21"/>
      <c r="C220" s="22"/>
    </row>
    <row r="221" spans="1:3" s="23" customFormat="1" ht="17.25" customHeight="1">
      <c r="A221" s="49" t="s">
        <v>89</v>
      </c>
      <c r="B221" s="21"/>
      <c r="C221" s="22"/>
    </row>
    <row r="222" spans="1:3" s="23" customFormat="1" ht="18.75" customHeight="1">
      <c r="A222" s="35" t="s">
        <v>145</v>
      </c>
      <c r="B222" s="36"/>
      <c r="C222" s="28">
        <f>46222776+1519046</f>
        <v>47741822</v>
      </c>
    </row>
    <row r="223" spans="1:3" s="23" customFormat="1" ht="15.75" customHeight="1">
      <c r="A223" s="35" t="s">
        <v>91</v>
      </c>
      <c r="B223" s="36"/>
      <c r="C223" s="28">
        <f>4012395+131861</f>
        <v>4144256</v>
      </c>
    </row>
    <row r="224" spans="1:3" s="23" customFormat="1" ht="15.75" customHeight="1">
      <c r="A224" s="35" t="s">
        <v>141</v>
      </c>
      <c r="B224" s="36"/>
      <c r="C224" s="28">
        <f>1925949+63395+469053</f>
        <v>2458397</v>
      </c>
    </row>
    <row r="225" spans="1:3" s="23" customFormat="1" ht="15.75" customHeight="1">
      <c r="A225" s="35" t="s">
        <v>93</v>
      </c>
      <c r="B225" s="36"/>
      <c r="C225" s="28">
        <f>2300000+637990+2126632+1616240+926853+1148381+1015283+547307</f>
        <v>10318686</v>
      </c>
    </row>
    <row r="226" spans="1:3" s="23" customFormat="1" ht="15.75" customHeight="1">
      <c r="A226" s="35" t="s">
        <v>151</v>
      </c>
      <c r="B226" s="36"/>
      <c r="C226" s="28">
        <v>13000000</v>
      </c>
    </row>
    <row r="227" spans="1:3" s="23" customFormat="1" ht="15.75" customHeight="1">
      <c r="A227" s="49" t="s">
        <v>97</v>
      </c>
      <c r="B227" s="21"/>
      <c r="C227" s="57">
        <f>SUM(C222:C226)</f>
        <v>77663161</v>
      </c>
    </row>
    <row r="228" spans="1:3" s="23" customFormat="1" ht="15.75" customHeight="1">
      <c r="A228" s="49"/>
      <c r="B228" s="21"/>
      <c r="C228" s="58"/>
    </row>
    <row r="229" spans="1:3" s="23" customFormat="1" ht="15.75" customHeight="1">
      <c r="A229" s="49" t="s">
        <v>98</v>
      </c>
      <c r="B229" s="21"/>
      <c r="C229" s="22"/>
    </row>
    <row r="230" spans="1:3" s="23" customFormat="1" ht="15.75" customHeight="1">
      <c r="A230" s="35" t="s">
        <v>152</v>
      </c>
      <c r="B230" s="36"/>
      <c r="C230" s="72">
        <v>37842958</v>
      </c>
    </row>
    <row r="231" spans="1:3" s="23" customFormat="1" ht="15.75" customHeight="1">
      <c r="A231" s="35" t="s">
        <v>153</v>
      </c>
      <c r="B231" s="36"/>
      <c r="C231" s="72">
        <v>1</v>
      </c>
    </row>
    <row r="232" spans="1:3" s="23" customFormat="1" ht="15.75" customHeight="1">
      <c r="A232" s="35" t="s">
        <v>101</v>
      </c>
      <c r="B232" s="36"/>
      <c r="C232" s="72">
        <v>6000000</v>
      </c>
    </row>
    <row r="233" spans="1:3" s="23" customFormat="1" ht="15.75" customHeight="1">
      <c r="A233" s="35" t="s">
        <v>102</v>
      </c>
      <c r="B233" s="36"/>
      <c r="C233" s="72">
        <v>4000000</v>
      </c>
    </row>
    <row r="234" spans="1:3" s="23" customFormat="1" ht="15.75" customHeight="1">
      <c r="A234" s="35" t="s">
        <v>103</v>
      </c>
      <c r="B234" s="36"/>
      <c r="C234" s="72">
        <v>4000000</v>
      </c>
    </row>
    <row r="235" spans="1:3" s="23" customFormat="1" ht="15.75" customHeight="1">
      <c r="A235" s="35" t="s">
        <v>154</v>
      </c>
      <c r="B235" s="36"/>
      <c r="C235" s="72">
        <v>35000000</v>
      </c>
    </row>
    <row r="236" spans="1:3" s="23" customFormat="1" ht="15.75" customHeight="1">
      <c r="A236" s="283" t="s">
        <v>155</v>
      </c>
      <c r="B236" s="284"/>
      <c r="C236" s="72">
        <v>4000000</v>
      </c>
    </row>
    <row r="237" spans="1:3" s="23" customFormat="1" ht="16.5" customHeight="1">
      <c r="A237" s="35" t="s">
        <v>156</v>
      </c>
      <c r="B237" s="36"/>
      <c r="C237" s="72">
        <v>1</v>
      </c>
    </row>
    <row r="238" spans="1:3" s="23" customFormat="1" ht="15.75" customHeight="1">
      <c r="A238" s="283" t="s">
        <v>157</v>
      </c>
      <c r="B238" s="284"/>
      <c r="C238" s="72">
        <v>1</v>
      </c>
    </row>
    <row r="239" spans="1:3" s="23" customFormat="1" ht="15.75" customHeight="1">
      <c r="A239" s="35" t="s">
        <v>158</v>
      </c>
      <c r="B239" s="36"/>
      <c r="C239" s="72">
        <v>2000000</v>
      </c>
    </row>
    <row r="240" spans="1:3" s="23" customFormat="1" ht="15" customHeight="1">
      <c r="A240" s="35" t="s">
        <v>123</v>
      </c>
      <c r="B240" s="36"/>
      <c r="C240" s="72">
        <f>36671600+12717827</f>
        <v>49389427</v>
      </c>
    </row>
    <row r="241" spans="1:3" s="23" customFormat="1" ht="15" customHeight="1">
      <c r="A241" s="35" t="s">
        <v>159</v>
      </c>
      <c r="B241" s="36"/>
      <c r="C241" s="72">
        <v>566758</v>
      </c>
    </row>
    <row r="242" spans="1:3" s="23" customFormat="1" ht="15" customHeight="1">
      <c r="A242" s="35" t="s">
        <v>160</v>
      </c>
      <c r="B242" s="36"/>
      <c r="C242" s="72">
        <v>2300000</v>
      </c>
    </row>
    <row r="243" spans="1:3" s="23" customFormat="1" ht="15">
      <c r="A243" s="283" t="s">
        <v>161</v>
      </c>
      <c r="B243" s="284"/>
      <c r="C243" s="72">
        <v>8000000</v>
      </c>
    </row>
    <row r="244" spans="1:3" s="23" customFormat="1" ht="15" customHeight="1">
      <c r="A244" s="283" t="s">
        <v>162</v>
      </c>
      <c r="B244" s="284"/>
      <c r="C244" s="72">
        <v>40000000</v>
      </c>
    </row>
    <row r="245" spans="1:3" s="23" customFormat="1" ht="15" customHeight="1">
      <c r="A245" s="283" t="s">
        <v>163</v>
      </c>
      <c r="B245" s="284"/>
      <c r="C245" s="72">
        <v>10000000</v>
      </c>
    </row>
    <row r="246" spans="1:3" s="23" customFormat="1" ht="15" customHeight="1">
      <c r="A246" s="35" t="s">
        <v>128</v>
      </c>
      <c r="B246" s="36"/>
      <c r="C246" s="28">
        <v>100000000</v>
      </c>
    </row>
    <row r="247" spans="1:3" s="23" customFormat="1" ht="15" customHeight="1">
      <c r="A247" s="38" t="s">
        <v>109</v>
      </c>
      <c r="B247" s="39"/>
      <c r="C247" s="72">
        <v>6700000</v>
      </c>
    </row>
    <row r="248" spans="1:3" s="23" customFormat="1" ht="15" customHeight="1">
      <c r="A248" s="49" t="s">
        <v>97</v>
      </c>
      <c r="B248" s="21"/>
      <c r="C248" s="33">
        <f>SUM(C230:C247)</f>
        <v>309799146</v>
      </c>
    </row>
    <row r="249" spans="1:3" s="23" customFormat="1" ht="15" customHeight="1">
      <c r="A249" s="292" t="s">
        <v>164</v>
      </c>
      <c r="B249" s="292"/>
      <c r="C249" s="33">
        <f>+C248+C227</f>
        <v>387462307</v>
      </c>
    </row>
    <row r="250" spans="1:3" s="23" customFormat="1" ht="15" customHeight="1">
      <c r="A250" s="49"/>
      <c r="B250" s="21"/>
      <c r="C250" s="22"/>
    </row>
    <row r="251" spans="1:3" s="23" customFormat="1" ht="15">
      <c r="A251" s="295" t="s">
        <v>165</v>
      </c>
      <c r="B251" s="295"/>
      <c r="C251" s="22"/>
    </row>
    <row r="252" spans="1:3" s="23" customFormat="1" ht="15">
      <c r="A252" s="296"/>
      <c r="B252" s="296"/>
      <c r="C252" s="22"/>
    </row>
    <row r="253" spans="1:3" s="23" customFormat="1" ht="18" customHeight="1">
      <c r="A253" s="35" t="s">
        <v>166</v>
      </c>
      <c r="B253" s="36"/>
      <c r="C253" s="28">
        <v>42194520</v>
      </c>
    </row>
    <row r="254" spans="1:3" s="23" customFormat="1" ht="18" customHeight="1">
      <c r="A254" s="283" t="s">
        <v>167</v>
      </c>
      <c r="B254" s="284"/>
      <c r="C254" s="28">
        <v>3516210</v>
      </c>
    </row>
    <row r="255" spans="1:3" s="23" customFormat="1" ht="18" customHeight="1">
      <c r="A255" s="35" t="s">
        <v>91</v>
      </c>
      <c r="B255" s="36"/>
      <c r="C255" s="28">
        <v>3516210</v>
      </c>
    </row>
    <row r="256" spans="1:3" s="23" customFormat="1" ht="18" customHeight="1">
      <c r="A256" s="35" t="s">
        <v>168</v>
      </c>
      <c r="B256" s="36"/>
      <c r="C256" s="28">
        <v>1000000</v>
      </c>
    </row>
    <row r="257" spans="1:3" s="23" customFormat="1" ht="18" customHeight="1">
      <c r="A257" s="35" t="s">
        <v>266</v>
      </c>
      <c r="B257" s="36"/>
      <c r="C257" s="28">
        <v>40000000</v>
      </c>
    </row>
    <row r="258" spans="1:3" s="23" customFormat="1" ht="18" customHeight="1">
      <c r="A258" s="35" t="s">
        <v>169</v>
      </c>
      <c r="B258" s="36"/>
      <c r="C258" s="28">
        <v>20000000</v>
      </c>
    </row>
    <row r="259" spans="1:3" s="23" customFormat="1" ht="15.75" customHeight="1">
      <c r="A259" s="32"/>
      <c r="B259" s="48"/>
      <c r="C259" s="25"/>
    </row>
    <row r="260" spans="1:3" s="23" customFormat="1" ht="15.75" customHeight="1">
      <c r="A260" s="49" t="s">
        <v>97</v>
      </c>
      <c r="B260" s="21"/>
      <c r="C260" s="33">
        <f>SUM(C253:C258)</f>
        <v>110226940</v>
      </c>
    </row>
    <row r="261" spans="1:3" s="23" customFormat="1" ht="18.75" customHeight="1">
      <c r="A261" s="49"/>
      <c r="B261" s="21"/>
      <c r="C261" s="33"/>
    </row>
    <row r="262" spans="1:3" s="23" customFormat="1" ht="17.25" customHeight="1">
      <c r="A262" s="20" t="s">
        <v>170</v>
      </c>
      <c r="B262" s="21"/>
      <c r="C262" s="22"/>
    </row>
    <row r="263" spans="1:3" s="23" customFormat="1" ht="18.75" customHeight="1">
      <c r="A263" s="49" t="s">
        <v>89</v>
      </c>
      <c r="B263" s="21"/>
      <c r="C263" s="22"/>
    </row>
    <row r="264" spans="1:3" s="23" customFormat="1" ht="15.75" customHeight="1">
      <c r="A264" s="35" t="s">
        <v>145</v>
      </c>
      <c r="B264" s="36"/>
      <c r="C264" s="28">
        <f>58438408+3506289</f>
        <v>61944697</v>
      </c>
    </row>
    <row r="265" spans="1:3" s="23" customFormat="1" ht="15.75" customHeight="1">
      <c r="A265" s="35" t="s">
        <v>91</v>
      </c>
      <c r="B265" s="36"/>
      <c r="C265" s="28">
        <f>5072779+7314+304365</f>
        <v>5384458</v>
      </c>
    </row>
    <row r="266" spans="1:3" s="23" customFormat="1" ht="15.75" customHeight="1">
      <c r="A266" s="35" t="s">
        <v>96</v>
      </c>
      <c r="B266" s="36"/>
      <c r="C266" s="28">
        <f>5495510+11459013</f>
        <v>16954523</v>
      </c>
    </row>
    <row r="267" spans="1:3" s="23" customFormat="1" ht="15.75" customHeight="1">
      <c r="A267" s="35" t="s">
        <v>171</v>
      </c>
      <c r="B267" s="36"/>
      <c r="C267" s="28">
        <v>659462</v>
      </c>
    </row>
    <row r="268" spans="1:3" s="23" customFormat="1" ht="15.75" customHeight="1">
      <c r="A268" s="35" t="s">
        <v>141</v>
      </c>
      <c r="B268" s="36"/>
      <c r="C268" s="28">
        <f>2434934+688118+683363+146094+1055502</f>
        <v>5008011</v>
      </c>
    </row>
    <row r="269" spans="1:3" s="23" customFormat="1" ht="15.75" customHeight="1">
      <c r="A269" s="49" t="s">
        <v>97</v>
      </c>
      <c r="B269" s="21"/>
      <c r="C269" s="57">
        <f>SUM(C264:C268)</f>
        <v>89951151</v>
      </c>
    </row>
    <row r="270" spans="1:3" s="23" customFormat="1" ht="17.25" customHeight="1">
      <c r="A270" s="49"/>
      <c r="B270" s="21"/>
      <c r="C270" s="33"/>
    </row>
    <row r="271" spans="1:3" s="23" customFormat="1" ht="17.25" customHeight="1">
      <c r="A271" s="49" t="s">
        <v>118</v>
      </c>
      <c r="B271" s="21"/>
      <c r="C271" s="22"/>
    </row>
    <row r="272" spans="1:3" s="23" customFormat="1" ht="19.5" customHeight="1">
      <c r="A272" s="35" t="s">
        <v>120</v>
      </c>
      <c r="B272" s="36"/>
      <c r="C272" s="28">
        <v>2000000</v>
      </c>
    </row>
    <row r="273" spans="1:3" s="23" customFormat="1" ht="18" customHeight="1">
      <c r="A273" s="35" t="s">
        <v>122</v>
      </c>
      <c r="B273" s="36"/>
      <c r="C273" s="28">
        <v>500000</v>
      </c>
    </row>
    <row r="274" spans="1:3" s="23" customFormat="1" ht="18" customHeight="1">
      <c r="A274" s="288" t="s">
        <v>124</v>
      </c>
      <c r="B274" s="289"/>
      <c r="C274" s="28">
        <v>1000000</v>
      </c>
    </row>
    <row r="275" spans="1:3" s="23" customFormat="1" ht="17.25" customHeight="1">
      <c r="A275" s="283" t="s">
        <v>125</v>
      </c>
      <c r="B275" s="284"/>
      <c r="C275" s="28">
        <v>1</v>
      </c>
    </row>
    <row r="276" spans="1:3" s="23" customFormat="1" ht="15" customHeight="1">
      <c r="A276" s="49" t="s">
        <v>97</v>
      </c>
      <c r="B276" s="21"/>
      <c r="C276" s="57">
        <f>SUM(C272:C275)</f>
        <v>3500001</v>
      </c>
    </row>
    <row r="277" spans="1:3" s="23" customFormat="1" ht="17.25" customHeight="1">
      <c r="A277" s="49"/>
      <c r="B277" s="21"/>
      <c r="C277" s="58"/>
    </row>
    <row r="278" spans="1:3" s="23" customFormat="1" ht="15" customHeight="1">
      <c r="A278" s="49" t="s">
        <v>110</v>
      </c>
      <c r="B278" s="21"/>
      <c r="C278" s="22"/>
    </row>
    <row r="279" spans="1:3" s="23" customFormat="1" ht="19.5" customHeight="1">
      <c r="A279" s="283" t="s">
        <v>111</v>
      </c>
      <c r="B279" s="284"/>
      <c r="C279" s="28">
        <v>11554443</v>
      </c>
    </row>
    <row r="280" spans="1:3" s="23" customFormat="1" ht="18.75" customHeight="1">
      <c r="A280" s="283" t="s">
        <v>112</v>
      </c>
      <c r="B280" s="284"/>
      <c r="C280" s="28">
        <v>5799457</v>
      </c>
    </row>
    <row r="281" spans="1:3" s="23" customFormat="1" ht="15.75" customHeight="1">
      <c r="A281" s="66" t="s">
        <v>97</v>
      </c>
      <c r="B281" s="67"/>
      <c r="C281" s="68">
        <f>SUM(C279:C280)</f>
        <v>17353900</v>
      </c>
    </row>
    <row r="282" spans="1:3" s="23" customFormat="1" ht="16.5" customHeight="1">
      <c r="A282" s="66" t="s">
        <v>172</v>
      </c>
      <c r="B282" s="21"/>
      <c r="C282" s="33">
        <f>+C281+C276+C269</f>
        <v>110805052</v>
      </c>
    </row>
    <row r="283" spans="1:3" s="23" customFormat="1" ht="14.25" customHeight="1">
      <c r="A283" s="49"/>
      <c r="B283" s="21"/>
      <c r="C283" s="33"/>
    </row>
    <row r="284" spans="1:3" s="23" customFormat="1" ht="14.25" customHeight="1">
      <c r="A284" s="292" t="s">
        <v>173</v>
      </c>
      <c r="B284" s="292"/>
      <c r="C284" s="33">
        <f>SUM(C260+C249+C218+C211+C204+C197+C190+C175+C146+C282)</f>
        <v>1144084845</v>
      </c>
    </row>
    <row r="285" spans="1:3" s="23" customFormat="1" ht="15">
      <c r="A285" s="74"/>
      <c r="B285" s="75"/>
      <c r="C285" s="76"/>
    </row>
    <row r="286" spans="1:3" s="23" customFormat="1" ht="15.75" customHeight="1">
      <c r="A286" s="77" t="s">
        <v>174</v>
      </c>
      <c r="B286" s="74"/>
      <c r="C286" s="76"/>
    </row>
    <row r="287" spans="1:3" s="23" customFormat="1" ht="15.75">
      <c r="A287" s="78" t="s">
        <v>175</v>
      </c>
      <c r="B287" s="74"/>
      <c r="C287" s="76"/>
    </row>
    <row r="288" spans="1:3" s="23" customFormat="1" ht="15.75">
      <c r="A288" s="79" t="s">
        <v>176</v>
      </c>
      <c r="B288" s="74"/>
      <c r="C288" s="76"/>
    </row>
    <row r="289" spans="1:3" s="23" customFormat="1" ht="15.75">
      <c r="A289" s="80" t="s">
        <v>177</v>
      </c>
      <c r="B289" s="81"/>
      <c r="C289" s="267">
        <f>+C295</f>
        <v>181272095</v>
      </c>
    </row>
    <row r="290" spans="1:3" s="23" customFormat="1" ht="18" customHeight="1">
      <c r="A290" s="82" t="s">
        <v>178</v>
      </c>
      <c r="B290" s="36"/>
      <c r="C290" s="83">
        <f>85450000+10000000</f>
        <v>95450000</v>
      </c>
    </row>
    <row r="291" spans="1:3" s="23" customFormat="1" ht="18.75" customHeight="1">
      <c r="A291" s="297" t="s">
        <v>179</v>
      </c>
      <c r="B291" s="280"/>
      <c r="C291" s="83">
        <f>47750000+10000000</f>
        <v>57750000</v>
      </c>
    </row>
    <row r="292" spans="1:3" s="23" customFormat="1" ht="15">
      <c r="A292" s="297" t="s">
        <v>327</v>
      </c>
      <c r="B292" s="280"/>
      <c r="C292" s="83">
        <f>6159000+6281095</f>
        <v>12440095</v>
      </c>
    </row>
    <row r="293" spans="1:3" s="23" customFormat="1" ht="21.75" customHeight="1">
      <c r="A293" s="297" t="s">
        <v>328</v>
      </c>
      <c r="B293" s="280"/>
      <c r="C293" s="83">
        <f>6632000+9000000</f>
        <v>15632000</v>
      </c>
    </row>
    <row r="294" spans="1:3" s="23" customFormat="1" ht="2.25" customHeight="1">
      <c r="A294" s="85" t="s">
        <v>180</v>
      </c>
      <c r="B294" s="86"/>
      <c r="C294" s="33">
        <f>SUM(C290:C293)</f>
        <v>181272095</v>
      </c>
    </row>
    <row r="295" spans="1:3" s="23" customFormat="1" ht="18" customHeight="1">
      <c r="A295" s="85" t="s">
        <v>180</v>
      </c>
      <c r="B295" s="21"/>
      <c r="C295" s="22">
        <f>SUM(C290:C293)</f>
        <v>181272095</v>
      </c>
    </row>
    <row r="296" spans="1:3" s="23" customFormat="1" ht="21" customHeight="1">
      <c r="A296" s="87" t="s">
        <v>181</v>
      </c>
      <c r="B296" s="40"/>
      <c r="C296" s="88">
        <f>+C301</f>
        <v>1128588980</v>
      </c>
    </row>
    <row r="297" spans="1:3" s="23" customFormat="1" ht="18" customHeight="1">
      <c r="A297" s="32"/>
      <c r="B297" s="21"/>
      <c r="C297" s="76"/>
    </row>
    <row r="298" spans="1:3" s="23" customFormat="1" ht="18.75" customHeight="1">
      <c r="A298" s="305" t="s">
        <v>182</v>
      </c>
      <c r="B298" s="307"/>
      <c r="C298" s="89">
        <f>96399000+5184629</f>
        <v>101583629</v>
      </c>
    </row>
    <row r="299" spans="1:3" s="23" customFormat="1" ht="19.5" customHeight="1">
      <c r="A299" s="305" t="s">
        <v>183</v>
      </c>
      <c r="B299" s="307"/>
      <c r="C299" s="89">
        <f>965443000+41728579</f>
        <v>1007171579</v>
      </c>
    </row>
    <row r="300" spans="1:3" s="23" customFormat="1" ht="18.75" customHeight="1">
      <c r="A300" s="90" t="s">
        <v>184</v>
      </c>
      <c r="B300" s="91"/>
      <c r="C300" s="89">
        <f>757000+19076772</f>
        <v>19833772</v>
      </c>
    </row>
    <row r="301" spans="1:3" s="23" customFormat="1" ht="18.75" customHeight="1">
      <c r="A301" s="85" t="s">
        <v>180</v>
      </c>
      <c r="B301" s="86"/>
      <c r="C301" s="92">
        <f>C298+C299+C300</f>
        <v>1128588980</v>
      </c>
    </row>
    <row r="302" spans="1:3" s="23" customFormat="1" ht="15">
      <c r="A302" s="295" t="s">
        <v>185</v>
      </c>
      <c r="B302" s="295"/>
      <c r="C302" s="94">
        <f>+C315</f>
        <v>365099341</v>
      </c>
    </row>
    <row r="303" spans="1:3" s="23" customFormat="1" ht="15">
      <c r="A303" s="305" t="s">
        <v>186</v>
      </c>
      <c r="B303" s="307"/>
      <c r="C303" s="95">
        <v>1000</v>
      </c>
    </row>
    <row r="304" spans="1:3" s="23" customFormat="1" ht="15">
      <c r="A304" s="305" t="s">
        <v>187</v>
      </c>
      <c r="B304" s="307"/>
      <c r="C304" s="95">
        <f>65200000-25200000</f>
        <v>40000000</v>
      </c>
    </row>
    <row r="305" spans="1:3" s="23" customFormat="1" ht="15">
      <c r="A305" s="308" t="s">
        <v>188</v>
      </c>
      <c r="B305" s="309"/>
      <c r="C305" s="95">
        <f>141348937-46348937</f>
        <v>95000000</v>
      </c>
    </row>
    <row r="306" spans="1:3" s="23" customFormat="1" ht="15">
      <c r="A306" s="310" t="s">
        <v>189</v>
      </c>
      <c r="B306" s="311"/>
      <c r="C306" s="95">
        <v>20000000</v>
      </c>
    </row>
    <row r="307" spans="1:3" s="23" customFormat="1" ht="18" customHeight="1">
      <c r="A307" s="288" t="s">
        <v>190</v>
      </c>
      <c r="B307" s="289"/>
      <c r="C307" s="95">
        <f>45000000-15000000</f>
        <v>30000000</v>
      </c>
    </row>
    <row r="308" spans="1:3" s="23" customFormat="1" ht="15">
      <c r="A308" s="288" t="s">
        <v>191</v>
      </c>
      <c r="B308" s="289"/>
      <c r="C308" s="95">
        <f>12000000-2000000</f>
        <v>10000000</v>
      </c>
    </row>
    <row r="309" spans="1:3" s="23" customFormat="1" ht="15">
      <c r="A309" s="310" t="s">
        <v>192</v>
      </c>
      <c r="B309" s="311"/>
      <c r="C309" s="95">
        <f>35500000-5500000</f>
        <v>30000000</v>
      </c>
    </row>
    <row r="310" spans="1:3" s="23" customFormat="1" ht="15">
      <c r="A310" s="310" t="s">
        <v>276</v>
      </c>
      <c r="B310" s="311"/>
      <c r="C310" s="95">
        <f>90500000-5500000</f>
        <v>85000000</v>
      </c>
    </row>
    <row r="311" spans="1:3" s="23" customFormat="1" ht="15">
      <c r="A311" s="312" t="s">
        <v>193</v>
      </c>
      <c r="B311" s="313"/>
      <c r="C311" s="95">
        <f>15000000-3500000</f>
        <v>11500000</v>
      </c>
    </row>
    <row r="312" spans="1:3" s="23" customFormat="1" ht="15">
      <c r="A312" s="310" t="s">
        <v>270</v>
      </c>
      <c r="B312" s="311"/>
      <c r="C312" s="95">
        <f>21000000-6000000</f>
        <v>15000000</v>
      </c>
    </row>
    <row r="313" spans="1:3" s="23" customFormat="1" ht="15">
      <c r="A313" s="98" t="s">
        <v>194</v>
      </c>
      <c r="B313" s="97"/>
      <c r="C313" s="95">
        <f>9416939-817598-1000</f>
        <v>8598341</v>
      </c>
    </row>
    <row r="314" spans="1:3" s="23" customFormat="1" ht="15">
      <c r="A314" s="314" t="s">
        <v>279</v>
      </c>
      <c r="B314" s="315"/>
      <c r="C314" s="95">
        <v>20000000</v>
      </c>
    </row>
    <row r="315" spans="1:3" s="23" customFormat="1" ht="15.75">
      <c r="A315" s="85" t="s">
        <v>180</v>
      </c>
      <c r="B315" s="21"/>
      <c r="C315" s="33">
        <f>SUM(C303:C314)</f>
        <v>365099341</v>
      </c>
    </row>
    <row r="316" spans="1:3" s="23" customFormat="1" ht="15">
      <c r="A316" s="295" t="s">
        <v>195</v>
      </c>
      <c r="B316" s="295"/>
      <c r="C316" s="94">
        <f>C317+C325</f>
        <v>68070616</v>
      </c>
    </row>
    <row r="317" spans="1:3" s="23" customFormat="1" ht="18" customHeight="1">
      <c r="A317" s="73" t="s">
        <v>196</v>
      </c>
      <c r="B317" s="73"/>
      <c r="C317" s="94">
        <f>+C323</f>
        <v>22070616</v>
      </c>
    </row>
    <row r="318" spans="1:3" s="23" customFormat="1" ht="18" customHeight="1">
      <c r="A318" s="310" t="s">
        <v>197</v>
      </c>
      <c r="B318" s="311"/>
      <c r="C318" s="95">
        <f>10000000-7000000+2000000</f>
        <v>5000000</v>
      </c>
    </row>
    <row r="319" spans="1:3" s="23" customFormat="1" ht="18" customHeight="1">
      <c r="A319" s="96" t="s">
        <v>198</v>
      </c>
      <c r="B319" s="97"/>
      <c r="C319" s="95">
        <f>2580000-1000000</f>
        <v>1580000</v>
      </c>
    </row>
    <row r="320" spans="1:3" s="23" customFormat="1" ht="18.75" customHeight="1">
      <c r="A320" s="310" t="s">
        <v>199</v>
      </c>
      <c r="B320" s="311"/>
      <c r="C320" s="95">
        <f>19397386-15000000+4000000</f>
        <v>8397386</v>
      </c>
    </row>
    <row r="321" spans="1:3" s="23" customFormat="1" ht="17.25" customHeight="1">
      <c r="A321" s="312" t="s">
        <v>200</v>
      </c>
      <c r="B321" s="313"/>
      <c r="C321" s="95">
        <v>1530000</v>
      </c>
    </row>
    <row r="322" spans="1:3" s="23" customFormat="1" ht="17.25" customHeight="1">
      <c r="A322" s="310" t="s">
        <v>201</v>
      </c>
      <c r="B322" s="311"/>
      <c r="C322" s="95">
        <f>3119282-556052+3000000</f>
        <v>5563230</v>
      </c>
    </row>
    <row r="323" spans="1:3" s="23" customFormat="1" ht="17.25" customHeight="1">
      <c r="A323" s="85" t="s">
        <v>180</v>
      </c>
      <c r="B323" s="99"/>
      <c r="C323" s="33">
        <f>SUM(C318:C322)</f>
        <v>22070616</v>
      </c>
    </row>
    <row r="324" spans="1:3" s="23" customFormat="1" ht="15">
      <c r="A324" s="100"/>
      <c r="B324" s="100"/>
      <c r="C324" s="76"/>
    </row>
    <row r="325" spans="1:3" s="23" customFormat="1" ht="18.75" customHeight="1">
      <c r="A325" s="101" t="s">
        <v>202</v>
      </c>
      <c r="B325" s="100"/>
      <c r="C325" s="94">
        <f>+C332</f>
        <v>46000000</v>
      </c>
    </row>
    <row r="326" spans="1:3" s="23" customFormat="1" ht="18.75" customHeight="1">
      <c r="A326" s="288" t="s">
        <v>203</v>
      </c>
      <c r="B326" s="289"/>
      <c r="C326" s="89">
        <v>2000000</v>
      </c>
    </row>
    <row r="327" spans="1:3" s="23" customFormat="1" ht="20.25" customHeight="1">
      <c r="A327" s="283" t="s">
        <v>204</v>
      </c>
      <c r="B327" s="284"/>
      <c r="C327" s="89">
        <v>2000000</v>
      </c>
    </row>
    <row r="328" spans="1:3" s="23" customFormat="1" ht="20.25" customHeight="1">
      <c r="A328" s="283" t="s">
        <v>205</v>
      </c>
      <c r="B328" s="284"/>
      <c r="C328" s="89">
        <v>2000000</v>
      </c>
    </row>
    <row r="329" spans="1:3" s="23" customFormat="1" ht="18.75" customHeight="1">
      <c r="A329" s="288" t="s">
        <v>206</v>
      </c>
      <c r="B329" s="289"/>
      <c r="C329" s="89">
        <f>2150000+20000000-2150000+10000000</f>
        <v>30000000</v>
      </c>
    </row>
    <row r="330" spans="1:3" s="23" customFormat="1" ht="21" customHeight="1">
      <c r="A330" s="310" t="s">
        <v>207</v>
      </c>
      <c r="B330" s="311"/>
      <c r="C330" s="89">
        <v>5000000</v>
      </c>
    </row>
    <row r="331" spans="1:3" s="23" customFormat="1" ht="15" customHeight="1">
      <c r="A331" s="310" t="s">
        <v>208</v>
      </c>
      <c r="B331" s="311"/>
      <c r="C331" s="72">
        <v>5000000</v>
      </c>
    </row>
    <row r="332" spans="1:3" s="23" customFormat="1" ht="15" customHeight="1">
      <c r="A332" s="85" t="s">
        <v>180</v>
      </c>
      <c r="B332" s="86"/>
      <c r="C332" s="92">
        <f>SUM(C326:C331)</f>
        <v>46000000</v>
      </c>
    </row>
    <row r="333" spans="1:3" s="23" customFormat="1" ht="15" customHeight="1">
      <c r="A333" s="85"/>
      <c r="B333" s="86"/>
      <c r="C333" s="93"/>
    </row>
    <row r="334" spans="1:3" s="23" customFormat="1" ht="15" customHeight="1">
      <c r="A334" s="40" t="s">
        <v>209</v>
      </c>
      <c r="B334" s="81"/>
      <c r="C334" s="102">
        <f>+C353+C354</f>
        <v>569111500</v>
      </c>
    </row>
    <row r="335" spans="1:3" s="23" customFormat="1" ht="18.75" customHeight="1">
      <c r="A335" s="312" t="s">
        <v>210</v>
      </c>
      <c r="B335" s="316"/>
      <c r="C335" s="89">
        <v>6060000</v>
      </c>
    </row>
    <row r="336" spans="1:3" s="23" customFormat="1" ht="19.5" customHeight="1">
      <c r="A336" s="310" t="s">
        <v>211</v>
      </c>
      <c r="B336" s="317"/>
      <c r="C336" s="89">
        <v>2200000</v>
      </c>
    </row>
    <row r="337" spans="1:3" s="23" customFormat="1" ht="18.75" customHeight="1">
      <c r="A337" s="96" t="s">
        <v>212</v>
      </c>
      <c r="B337" s="104"/>
      <c r="C337" s="89">
        <v>6700000</v>
      </c>
    </row>
    <row r="338" spans="1:3" s="23" customFormat="1" ht="18.75" customHeight="1">
      <c r="A338" s="305" t="s">
        <v>330</v>
      </c>
      <c r="B338" s="318"/>
      <c r="C338" s="89">
        <v>22170984</v>
      </c>
    </row>
    <row r="339" spans="1:3" s="23" customFormat="1" ht="18.75" customHeight="1">
      <c r="A339" s="310" t="s">
        <v>329</v>
      </c>
      <c r="B339" s="317"/>
      <c r="C339" s="89">
        <f>8138168+4000000+5000000+5000000+6700000+5553168</f>
        <v>34391336</v>
      </c>
    </row>
    <row r="340" spans="1:3" s="23" customFormat="1" ht="15" customHeight="1">
      <c r="A340" s="310" t="s">
        <v>213</v>
      </c>
      <c r="B340" s="317"/>
      <c r="C340" s="89">
        <f>5000000+5000000</f>
        <v>10000000</v>
      </c>
    </row>
    <row r="341" spans="1:3" s="23" customFormat="1" ht="15">
      <c r="A341" s="310" t="s">
        <v>214</v>
      </c>
      <c r="B341" s="317"/>
      <c r="C341" s="89">
        <f>6500000+2000000</f>
        <v>8500000</v>
      </c>
    </row>
    <row r="342" spans="1:3" s="23" customFormat="1" ht="18.75" customHeight="1">
      <c r="A342" s="96" t="s">
        <v>215</v>
      </c>
      <c r="B342" s="104"/>
      <c r="C342" s="89">
        <f>3000000+3000000</f>
        <v>6000000</v>
      </c>
    </row>
    <row r="343" spans="1:3" s="23" customFormat="1" ht="18" customHeight="1">
      <c r="A343" s="310" t="s">
        <v>216</v>
      </c>
      <c r="B343" s="317"/>
      <c r="C343" s="89">
        <f>8800000+26200000-6700000</f>
        <v>28300000</v>
      </c>
    </row>
    <row r="344" spans="1:3" s="23" customFormat="1" ht="18" customHeight="1">
      <c r="A344" s="41" t="s">
        <v>217</v>
      </c>
      <c r="B344" s="81"/>
      <c r="C344" s="89">
        <v>37643492</v>
      </c>
    </row>
    <row r="345" spans="1:3" s="23" customFormat="1" ht="18.75" customHeight="1">
      <c r="A345" s="305" t="s">
        <v>271</v>
      </c>
      <c r="B345" s="318"/>
      <c r="C345" s="89">
        <f>6000000-2000000</f>
        <v>4000000</v>
      </c>
    </row>
    <row r="346" spans="1:3" s="23" customFormat="1" ht="18" customHeight="1">
      <c r="A346" s="310" t="s">
        <v>218</v>
      </c>
      <c r="B346" s="317"/>
      <c r="C346" s="89">
        <v>8500000</v>
      </c>
    </row>
    <row r="347" spans="1:3" s="23" customFormat="1" ht="15">
      <c r="A347" s="310" t="s">
        <v>219</v>
      </c>
      <c r="B347" s="317"/>
      <c r="C347" s="89">
        <f>90000000-7558703</f>
        <v>82441297</v>
      </c>
    </row>
    <row r="348" spans="1:3" s="23" customFormat="1" ht="19.5" customHeight="1">
      <c r="A348" s="288" t="s">
        <v>220</v>
      </c>
      <c r="B348" s="319"/>
      <c r="C348" s="89">
        <v>16000000</v>
      </c>
    </row>
    <row r="349" spans="1:3" s="23" customFormat="1" ht="18" customHeight="1">
      <c r="A349" s="310" t="s">
        <v>221</v>
      </c>
      <c r="B349" s="317"/>
      <c r="C349" s="89">
        <v>2500000</v>
      </c>
    </row>
    <row r="350" spans="1:3" s="23" customFormat="1" ht="18" customHeight="1">
      <c r="A350" s="297" t="s">
        <v>222</v>
      </c>
      <c r="B350" s="320"/>
      <c r="C350" s="89">
        <v>12500000</v>
      </c>
    </row>
    <row r="351" spans="1:3" s="23" customFormat="1" ht="18" customHeight="1">
      <c r="A351" s="84" t="s">
        <v>331</v>
      </c>
      <c r="B351" s="105"/>
      <c r="C351" s="89">
        <f>124000000-5553168</f>
        <v>118446832</v>
      </c>
    </row>
    <row r="352" spans="1:3" s="23" customFormat="1" ht="19.5" customHeight="1">
      <c r="A352" s="84" t="s">
        <v>223</v>
      </c>
      <c r="B352" s="105"/>
      <c r="C352" s="89">
        <v>20500000</v>
      </c>
    </row>
    <row r="353" spans="1:3" s="23" customFormat="1" ht="14.25" customHeight="1">
      <c r="A353" s="85" t="s">
        <v>224</v>
      </c>
      <c r="B353" s="86"/>
      <c r="C353" s="92">
        <f>SUM(C335:C352)</f>
        <v>426853941</v>
      </c>
    </row>
    <row r="354" spans="1:3" s="23" customFormat="1" ht="20.25" customHeight="1">
      <c r="A354" s="85" t="s">
        <v>225</v>
      </c>
      <c r="B354" s="86"/>
      <c r="C354" s="92">
        <f>+C359</f>
        <v>142257559</v>
      </c>
    </row>
    <row r="355" spans="1:3" s="23" customFormat="1" ht="17.25" customHeight="1">
      <c r="A355" s="85"/>
      <c r="B355" s="86"/>
      <c r="C355" s="93"/>
    </row>
    <row r="356" spans="1:3" s="23" customFormat="1" ht="30.75" customHeight="1">
      <c r="A356" s="106" t="s">
        <v>226</v>
      </c>
      <c r="B356" s="39"/>
      <c r="C356" s="72">
        <v>0</v>
      </c>
    </row>
    <row r="357" spans="1:3" s="23" customFormat="1" ht="32.25" customHeight="1">
      <c r="A357" s="293" t="s">
        <v>227</v>
      </c>
      <c r="B357" s="294"/>
      <c r="C357" s="89">
        <f>90571641+5420971+2137732</f>
        <v>98130344</v>
      </c>
    </row>
    <row r="358" spans="1:3" s="23" customFormat="1" ht="15">
      <c r="A358" s="293" t="s">
        <v>278</v>
      </c>
      <c r="B358" s="321"/>
      <c r="C358" s="89">
        <v>44127215</v>
      </c>
    </row>
    <row r="359" spans="1:3" s="23" customFormat="1" ht="15.75">
      <c r="A359" s="85" t="s">
        <v>224</v>
      </c>
      <c r="B359" s="48"/>
      <c r="C359" s="102">
        <f>SUM(C356:C358)</f>
        <v>142257559</v>
      </c>
    </row>
    <row r="360" spans="1:3" s="23" customFormat="1" ht="15.75">
      <c r="A360" s="85" t="s">
        <v>264</v>
      </c>
      <c r="B360" s="86"/>
      <c r="C360" s="92">
        <f>+C359+C353</f>
        <v>569111500</v>
      </c>
    </row>
    <row r="361" spans="1:3" s="23" customFormat="1" ht="15.75">
      <c r="A361" s="85"/>
      <c r="B361" s="86"/>
      <c r="C361" s="93"/>
    </row>
    <row r="362" spans="1:3" s="23" customFormat="1" ht="15.75">
      <c r="A362" s="85" t="s">
        <v>228</v>
      </c>
      <c r="B362" s="86"/>
      <c r="C362" s="92">
        <f>+C370</f>
        <v>37430362</v>
      </c>
    </row>
    <row r="363" spans="1:3" s="23" customFormat="1" ht="18" customHeight="1">
      <c r="A363" s="85"/>
      <c r="B363" s="86"/>
      <c r="C363" s="93"/>
    </row>
    <row r="364" spans="1:3" s="23" customFormat="1" ht="18" customHeight="1">
      <c r="A364" s="36" t="s">
        <v>229</v>
      </c>
      <c r="B364" s="36"/>
      <c r="C364" s="89">
        <v>1</v>
      </c>
    </row>
    <row r="365" spans="1:3" s="23" customFormat="1" ht="18" customHeight="1">
      <c r="A365" s="36" t="s">
        <v>230</v>
      </c>
      <c r="B365" s="36"/>
      <c r="C365" s="89">
        <v>5000000</v>
      </c>
    </row>
    <row r="366" spans="1:3" s="23" customFormat="1" ht="18" customHeight="1">
      <c r="A366" s="36" t="s">
        <v>231</v>
      </c>
      <c r="B366" s="36"/>
      <c r="C366" s="89">
        <v>2940000</v>
      </c>
    </row>
    <row r="367" spans="1:3" s="23" customFormat="1" ht="18" customHeight="1">
      <c r="A367" s="36" t="s">
        <v>232</v>
      </c>
      <c r="B367" s="36"/>
      <c r="C367" s="89">
        <v>4319999</v>
      </c>
    </row>
    <row r="368" spans="1:3" s="23" customFormat="1" ht="18" customHeight="1">
      <c r="A368" s="36" t="s">
        <v>233</v>
      </c>
      <c r="B368" s="36"/>
      <c r="C368" s="89">
        <f>37560000-19520638+5000000</f>
        <v>23039362</v>
      </c>
    </row>
    <row r="369" spans="1:3" s="23" customFormat="1" ht="15">
      <c r="A369" s="36" t="s">
        <v>234</v>
      </c>
      <c r="B369" s="36"/>
      <c r="C369" s="89">
        <v>2131000</v>
      </c>
    </row>
    <row r="370" spans="1:3" s="23" customFormat="1" ht="15.75">
      <c r="A370" s="85" t="s">
        <v>180</v>
      </c>
      <c r="B370" s="48"/>
      <c r="C370" s="102">
        <f>SUM(C364:C369)</f>
        <v>37430362</v>
      </c>
    </row>
    <row r="371" spans="1:3" s="23" customFormat="1" ht="15.75">
      <c r="A371" s="107"/>
      <c r="B371" s="81"/>
      <c r="C371" s="103"/>
    </row>
    <row r="372" spans="1:3" s="23" customFormat="1" ht="15.75">
      <c r="A372" s="322" t="s">
        <v>235</v>
      </c>
      <c r="B372" s="322"/>
      <c r="C372" s="108">
        <f>+C410</f>
        <v>140426610</v>
      </c>
    </row>
    <row r="373" spans="1:3" s="23" customFormat="1" ht="15.75">
      <c r="A373" s="107"/>
      <c r="B373" s="81"/>
      <c r="C373" s="103"/>
    </row>
    <row r="374" spans="1:3" s="23" customFormat="1" ht="15.75">
      <c r="A374" s="109" t="s">
        <v>236</v>
      </c>
      <c r="B374" s="110"/>
      <c r="C374" s="111">
        <v>1000</v>
      </c>
    </row>
    <row r="375" spans="1:3" s="23" customFormat="1" ht="15.75">
      <c r="A375" s="109" t="s">
        <v>237</v>
      </c>
      <c r="B375" s="110"/>
      <c r="C375" s="111">
        <v>1000</v>
      </c>
    </row>
    <row r="376" spans="1:3" s="23" customFormat="1" ht="15">
      <c r="A376" s="297" t="s">
        <v>275</v>
      </c>
      <c r="B376" s="280"/>
      <c r="C376" s="89">
        <v>1000</v>
      </c>
    </row>
    <row r="377" spans="1:3" s="23" customFormat="1" ht="15">
      <c r="A377" s="323" t="s">
        <v>457</v>
      </c>
      <c r="B377" s="324"/>
      <c r="C377" s="111">
        <v>0</v>
      </c>
    </row>
    <row r="378" spans="1:3" s="23" customFormat="1" ht="15">
      <c r="A378" s="297" t="s">
        <v>238</v>
      </c>
      <c r="B378" s="320"/>
      <c r="C378" s="89">
        <v>5948544</v>
      </c>
    </row>
    <row r="379" spans="1:3" s="23" customFormat="1" ht="15">
      <c r="A379" s="323" t="s">
        <v>239</v>
      </c>
      <c r="B379" s="324"/>
      <c r="C379" s="111">
        <v>2500000</v>
      </c>
    </row>
    <row r="380" spans="1:3" s="23" customFormat="1" ht="15.75">
      <c r="A380" s="109" t="s">
        <v>240</v>
      </c>
      <c r="B380" s="110"/>
      <c r="C380" s="111">
        <v>12214088</v>
      </c>
    </row>
    <row r="381" spans="1:3" s="23" customFormat="1" ht="15">
      <c r="A381" s="27" t="s">
        <v>272</v>
      </c>
      <c r="B381" s="82"/>
      <c r="C381" s="72">
        <v>22000000</v>
      </c>
    </row>
    <row r="382" spans="1:3" s="23" customFormat="1" ht="15.75">
      <c r="A382" s="109" t="s">
        <v>241</v>
      </c>
      <c r="B382" s="110"/>
      <c r="C382" s="111">
        <v>2000000</v>
      </c>
    </row>
    <row r="383" spans="1:3" s="23" customFormat="1" ht="15">
      <c r="A383" s="323" t="s">
        <v>242</v>
      </c>
      <c r="B383" s="324"/>
      <c r="C383" s="111">
        <v>19000000</v>
      </c>
    </row>
    <row r="384" spans="1:3" s="23" customFormat="1" ht="15.75">
      <c r="A384" s="109" t="s">
        <v>243</v>
      </c>
      <c r="B384" s="110"/>
      <c r="C384" s="111">
        <v>13200000</v>
      </c>
    </row>
    <row r="385" spans="1:3" s="23" customFormat="1" ht="15.75">
      <c r="A385" s="109" t="s">
        <v>244</v>
      </c>
      <c r="B385" s="110"/>
      <c r="C385" s="111">
        <v>1500000</v>
      </c>
    </row>
    <row r="386" spans="1:3" s="23" customFormat="1" ht="15">
      <c r="A386" s="326" t="s">
        <v>245</v>
      </c>
      <c r="B386" s="327"/>
      <c r="C386" s="111">
        <v>23565000</v>
      </c>
    </row>
    <row r="387" spans="1:3" s="23" customFormat="1" ht="15.75">
      <c r="A387" s="109" t="s">
        <v>246</v>
      </c>
      <c r="B387" s="110"/>
      <c r="C387" s="111">
        <v>12187500</v>
      </c>
    </row>
    <row r="388" spans="1:3" s="23" customFormat="1" ht="15.75">
      <c r="A388" s="109" t="s">
        <v>247</v>
      </c>
      <c r="B388" s="110"/>
      <c r="C388" s="111">
        <v>3000000</v>
      </c>
    </row>
    <row r="389" spans="1:3" s="23" customFormat="1" ht="15.75">
      <c r="A389" s="109" t="s">
        <v>248</v>
      </c>
      <c r="B389" s="110"/>
      <c r="C389" s="111">
        <v>1900000</v>
      </c>
    </row>
    <row r="390" spans="1:3" s="23" customFormat="1" ht="15.75">
      <c r="A390" s="109" t="s">
        <v>249</v>
      </c>
      <c r="B390" s="110"/>
      <c r="C390" s="111">
        <v>1000</v>
      </c>
    </row>
    <row r="391" spans="1:3" s="23" customFormat="1" ht="15.75">
      <c r="A391" s="109" t="s">
        <v>250</v>
      </c>
      <c r="B391" s="110"/>
      <c r="C391" s="111">
        <v>2000000</v>
      </c>
    </row>
    <row r="392" spans="1:3" s="23" customFormat="1" ht="15.75">
      <c r="A392" s="109" t="s">
        <v>251</v>
      </c>
      <c r="B392" s="110"/>
      <c r="C392" s="111">
        <v>1000</v>
      </c>
    </row>
    <row r="393" spans="1:3" s="23" customFormat="1" ht="15">
      <c r="A393" s="305" t="s">
        <v>252</v>
      </c>
      <c r="B393" s="318"/>
      <c r="C393" s="112">
        <v>1000</v>
      </c>
    </row>
    <row r="394" spans="1:3" s="23" customFormat="1" ht="15">
      <c r="A394" s="305" t="s">
        <v>253</v>
      </c>
      <c r="B394" s="318"/>
      <c r="C394" s="72">
        <v>1000</v>
      </c>
    </row>
    <row r="395" spans="1:3" s="23" customFormat="1" ht="15">
      <c r="A395" s="27" t="s">
        <v>254</v>
      </c>
      <c r="B395" s="82"/>
      <c r="C395" s="72">
        <v>3731000</v>
      </c>
    </row>
    <row r="396" spans="1:3" s="23" customFormat="1" ht="15">
      <c r="A396" s="297" t="s">
        <v>277</v>
      </c>
      <c r="B396" s="280"/>
      <c r="C396" s="72">
        <v>3000000</v>
      </c>
    </row>
    <row r="397" spans="1:3" s="23" customFormat="1" ht="15">
      <c r="A397" s="305" t="s">
        <v>255</v>
      </c>
      <c r="B397" s="325"/>
      <c r="C397" s="72">
        <v>100000</v>
      </c>
    </row>
    <row r="398" spans="1:3" s="23" customFormat="1" ht="15">
      <c r="A398" s="27" t="s">
        <v>256</v>
      </c>
      <c r="B398" s="82"/>
      <c r="C398" s="72">
        <v>1000</v>
      </c>
    </row>
    <row r="399" spans="1:3" s="23" customFormat="1" ht="15">
      <c r="A399" s="305" t="s">
        <v>257</v>
      </c>
      <c r="B399" s="325"/>
      <c r="C399" s="72">
        <v>1000</v>
      </c>
    </row>
    <row r="400" spans="1:3" s="23" customFormat="1" ht="15">
      <c r="A400" s="27" t="s">
        <v>258</v>
      </c>
      <c r="B400" s="82"/>
      <c r="C400" s="72">
        <v>1000</v>
      </c>
    </row>
    <row r="401" spans="1:3" s="23" customFormat="1" ht="15">
      <c r="A401" s="27" t="s">
        <v>261</v>
      </c>
      <c r="B401" s="82"/>
      <c r="C401" s="72">
        <v>2068478</v>
      </c>
    </row>
    <row r="402" spans="1:3" s="23" customFormat="1" ht="15">
      <c r="A402" s="305" t="s">
        <v>262</v>
      </c>
      <c r="B402" s="325"/>
      <c r="C402" s="72">
        <v>0</v>
      </c>
    </row>
    <row r="403" spans="1:3" s="23" customFormat="1" ht="15">
      <c r="A403" s="27" t="s">
        <v>263</v>
      </c>
      <c r="B403" s="31"/>
      <c r="C403" s="72">
        <v>1000</v>
      </c>
    </row>
    <row r="404" spans="1:3" s="23" customFormat="1" ht="15">
      <c r="A404" s="310" t="s">
        <v>219</v>
      </c>
      <c r="B404" s="317"/>
      <c r="C404" s="72">
        <v>1000</v>
      </c>
    </row>
    <row r="405" spans="1:3" s="23" customFormat="1" ht="15">
      <c r="A405" s="310" t="s">
        <v>265</v>
      </c>
      <c r="B405" s="311"/>
      <c r="C405" s="72">
        <v>3000000</v>
      </c>
    </row>
    <row r="406" spans="1:3" s="23" customFormat="1" ht="15">
      <c r="A406" s="96" t="s">
        <v>267</v>
      </c>
      <c r="B406" s="97"/>
      <c r="C406" s="72">
        <v>5000000</v>
      </c>
    </row>
    <row r="407" spans="1:3" s="23" customFormat="1" ht="15">
      <c r="A407" s="96" t="s">
        <v>458</v>
      </c>
      <c r="B407" s="97"/>
      <c r="C407" s="72">
        <v>0</v>
      </c>
    </row>
    <row r="408" spans="1:3" s="23" customFormat="1" ht="15">
      <c r="A408" s="38" t="s">
        <v>273</v>
      </c>
      <c r="B408" s="39"/>
      <c r="C408" s="72">
        <v>500000</v>
      </c>
    </row>
    <row r="409" spans="1:3" s="23" customFormat="1" ht="15">
      <c r="A409" s="96" t="s">
        <v>274</v>
      </c>
      <c r="B409" s="97"/>
      <c r="C409" s="72">
        <v>2000000</v>
      </c>
    </row>
    <row r="410" spans="1:3" s="23" customFormat="1" ht="15.75">
      <c r="A410" s="49" t="s">
        <v>97</v>
      </c>
      <c r="B410" s="21"/>
      <c r="C410" s="92">
        <f>SUM(C374:C409)</f>
        <v>140426610</v>
      </c>
    </row>
    <row r="411" spans="1:3" s="23" customFormat="1" ht="15">
      <c r="A411" s="32"/>
      <c r="B411" s="21"/>
      <c r="C411" s="22"/>
    </row>
    <row r="412" spans="1:3" s="23" customFormat="1" ht="15.75">
      <c r="A412" s="49" t="s">
        <v>173</v>
      </c>
      <c r="B412" s="21"/>
      <c r="C412" s="33">
        <f>+C284</f>
        <v>1144084845</v>
      </c>
    </row>
    <row r="413" spans="1:3" s="23" customFormat="1" ht="15.75">
      <c r="A413" s="292" t="s">
        <v>260</v>
      </c>
      <c r="B413" s="292"/>
      <c r="C413" s="33">
        <f>C410</f>
        <v>140426610</v>
      </c>
    </row>
    <row r="414" spans="1:3" s="23" customFormat="1" ht="16.5" thickBot="1">
      <c r="A414" s="49" t="s">
        <v>332</v>
      </c>
      <c r="B414" s="21"/>
      <c r="C414" s="113">
        <f>C289+C296+C302+C316+C334+C362</f>
        <v>2349572894</v>
      </c>
    </row>
    <row r="415" spans="1:3" s="23" customFormat="1" ht="15.75">
      <c r="A415" s="114" t="s">
        <v>333</v>
      </c>
      <c r="C415" s="33">
        <f>SUM(C412:C414)</f>
        <v>3634084349</v>
      </c>
    </row>
    <row r="416" spans="1:3" s="23" customFormat="1" ht="15">
      <c r="A416" s="116"/>
      <c r="B416" s="116"/>
      <c r="C416" s="117"/>
    </row>
    <row r="417" spans="1:12" s="23" customFormat="1" ht="18.75" customHeight="1">
      <c r="A417" s="304" t="s">
        <v>460</v>
      </c>
      <c r="B417" s="333"/>
      <c r="C417" s="333"/>
      <c r="D417" s="115"/>
      <c r="E417" s="115"/>
      <c r="F417" s="115"/>
      <c r="G417" s="115"/>
      <c r="H417" s="115"/>
      <c r="I417" s="115"/>
      <c r="J417" s="115"/>
      <c r="K417" s="115"/>
      <c r="L417" s="115"/>
    </row>
    <row r="418" spans="1:3" ht="14.25">
      <c r="A418" s="333"/>
      <c r="B418" s="333"/>
      <c r="C418" s="333"/>
    </row>
    <row r="419" spans="1:3" ht="51" customHeight="1">
      <c r="A419" s="18"/>
      <c r="B419" s="5"/>
      <c r="C419" s="8"/>
    </row>
    <row r="420" spans="1:3" ht="18" customHeight="1">
      <c r="A420" s="334" t="s">
        <v>465</v>
      </c>
      <c r="B420" s="334"/>
      <c r="C420" s="334"/>
    </row>
    <row r="421" spans="1:3" ht="18" customHeight="1">
      <c r="A421" s="331" t="s">
        <v>466</v>
      </c>
      <c r="B421" s="331"/>
      <c r="C421" s="331"/>
    </row>
    <row r="422" ht="52.5" customHeight="1">
      <c r="A422" s="4"/>
    </row>
    <row r="423" ht="14.25">
      <c r="A423" s="4"/>
    </row>
    <row r="424" spans="1:3" ht="15">
      <c r="A424" s="335" t="s">
        <v>461</v>
      </c>
      <c r="B424" s="335"/>
      <c r="C424" s="335"/>
    </row>
    <row r="425" spans="1:3" ht="14.25">
      <c r="A425" s="331" t="s">
        <v>462</v>
      </c>
      <c r="B425" s="331"/>
      <c r="C425" s="331"/>
    </row>
    <row r="426" ht="14.25">
      <c r="A426" s="4"/>
    </row>
    <row r="427" ht="14.25">
      <c r="A427" s="4"/>
    </row>
    <row r="428" ht="14.25">
      <c r="A428" s="4"/>
    </row>
    <row r="430" spans="1:3" ht="15">
      <c r="A430" s="270" t="s">
        <v>463</v>
      </c>
      <c r="B430" s="270"/>
      <c r="C430" s="271"/>
    </row>
    <row r="431" ht="14.25">
      <c r="A431" s="1" t="s">
        <v>464</v>
      </c>
    </row>
  </sheetData>
  <sheetProtection/>
  <mergeCells count="121">
    <mergeCell ref="A338:B338"/>
    <mergeCell ref="A345:B345"/>
    <mergeCell ref="A372:B372"/>
    <mergeCell ref="A350:B350"/>
    <mergeCell ref="A341:B341"/>
    <mergeCell ref="A343:B343"/>
    <mergeCell ref="A413:B413"/>
    <mergeCell ref="A404:B404"/>
    <mergeCell ref="A393:B393"/>
    <mergeCell ref="A402:B402"/>
    <mergeCell ref="A399:B399"/>
    <mergeCell ref="A397:B397"/>
    <mergeCell ref="A405:B405"/>
    <mergeCell ref="A396:B396"/>
    <mergeCell ref="A394:B394"/>
    <mergeCell ref="A386:B386"/>
    <mergeCell ref="A321:B321"/>
    <mergeCell ref="A322:B322"/>
    <mergeCell ref="A335:B335"/>
    <mergeCell ref="A358:B358"/>
    <mergeCell ref="A357:B357"/>
    <mergeCell ref="A346:B346"/>
    <mergeCell ref="A326:B326"/>
    <mergeCell ref="A378:B378"/>
    <mergeCell ref="A336:B336"/>
    <mergeCell ref="A320:B320"/>
    <mergeCell ref="A318:B318"/>
    <mergeCell ref="A383:B383"/>
    <mergeCell ref="A379:B379"/>
    <mergeCell ref="A340:B340"/>
    <mergeCell ref="A348:B348"/>
    <mergeCell ref="A377:B377"/>
    <mergeCell ref="A376:B376"/>
    <mergeCell ref="A347:B347"/>
    <mergeCell ref="A349:B349"/>
    <mergeCell ref="A311:B311"/>
    <mergeCell ref="A327:B327"/>
    <mergeCell ref="A339:B339"/>
    <mergeCell ref="A331:B331"/>
    <mergeCell ref="A329:B329"/>
    <mergeCell ref="A328:B328"/>
    <mergeCell ref="A330:B330"/>
    <mergeCell ref="A312:B312"/>
    <mergeCell ref="A314:B314"/>
    <mergeCell ref="A316:B316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280:B280"/>
    <mergeCell ref="A284:B284"/>
    <mergeCell ref="A291:B291"/>
    <mergeCell ref="A292:B292"/>
    <mergeCell ref="A293:B293"/>
    <mergeCell ref="A298:B298"/>
    <mergeCell ref="A299:B299"/>
    <mergeCell ref="A302:B302"/>
    <mergeCell ref="A244:B244"/>
    <mergeCell ref="A245:B245"/>
    <mergeCell ref="A249:B249"/>
    <mergeCell ref="A251:B252"/>
    <mergeCell ref="A254:B254"/>
    <mergeCell ref="A274:B274"/>
    <mergeCell ref="A275:B275"/>
    <mergeCell ref="A279:B279"/>
    <mergeCell ref="A206:B206"/>
    <mergeCell ref="A211:B211"/>
    <mergeCell ref="A213:B213"/>
    <mergeCell ref="A215:B215"/>
    <mergeCell ref="A218:B218"/>
    <mergeCell ref="A236:B236"/>
    <mergeCell ref="A238:B238"/>
    <mergeCell ref="A243:B243"/>
    <mergeCell ref="A173:B173"/>
    <mergeCell ref="A177:B177"/>
    <mergeCell ref="A185:B185"/>
    <mergeCell ref="A186:B186"/>
    <mergeCell ref="A187:B187"/>
    <mergeCell ref="A192:B192"/>
    <mergeCell ref="A199:B199"/>
    <mergeCell ref="A204:B204"/>
    <mergeCell ref="A130:B130"/>
    <mergeCell ref="A424:C424"/>
    <mergeCell ref="A135:B135"/>
    <mergeCell ref="A143:B143"/>
    <mergeCell ref="A144:B144"/>
    <mergeCell ref="A163:B163"/>
    <mergeCell ref="A164:B164"/>
    <mergeCell ref="A165:B165"/>
    <mergeCell ref="A166:B166"/>
    <mergeCell ref="A172:B172"/>
    <mergeCell ref="A66:B66"/>
    <mergeCell ref="A67:B67"/>
    <mergeCell ref="A70:B70"/>
    <mergeCell ref="A72:B72"/>
    <mergeCell ref="A73:B73"/>
    <mergeCell ref="A92:B92"/>
    <mergeCell ref="A105:B105"/>
    <mergeCell ref="A114:B114"/>
    <mergeCell ref="A5:B5"/>
    <mergeCell ref="A6:B6"/>
    <mergeCell ref="A7:B7"/>
    <mergeCell ref="A33:B33"/>
    <mergeCell ref="A34:B34"/>
    <mergeCell ref="A47:B47"/>
    <mergeCell ref="A50:B50"/>
    <mergeCell ref="A65:B65"/>
    <mergeCell ref="A425:C425"/>
    <mergeCell ref="A2:C2"/>
    <mergeCell ref="A417:C418"/>
    <mergeCell ref="A420:C420"/>
    <mergeCell ref="A421:C421"/>
    <mergeCell ref="A27:B27"/>
    <mergeCell ref="A10:B10"/>
    <mergeCell ref="A13:B13"/>
    <mergeCell ref="A15:B15"/>
    <mergeCell ref="A25:B25"/>
  </mergeCells>
  <printOptions horizontalCentered="1"/>
  <pageMargins left="0.47" right="0.56" top="1.3779527559055118" bottom="0.984251968503937" header="0" footer="0"/>
  <pageSetup horizontalDpi="300" verticalDpi="3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Servidor </dc:creator>
  <cp:keywords/>
  <dc:description/>
  <cp:lastModifiedBy>PLANEACION</cp:lastModifiedBy>
  <cp:lastPrinted>2008-03-14T19:35:15Z</cp:lastPrinted>
  <dcterms:created xsi:type="dcterms:W3CDTF">2006-12-07T20:15:04Z</dcterms:created>
  <dcterms:modified xsi:type="dcterms:W3CDTF">2002-05-07T05:42:58Z</dcterms:modified>
  <cp:category/>
  <cp:version/>
  <cp:contentType/>
  <cp:contentStatus/>
</cp:coreProperties>
</file>